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oono\Desktop\アフィン変換2\"/>
    </mc:Choice>
  </mc:AlternateContent>
  <xr:revisionPtr revIDLastSave="0" documentId="13_ncr:1_{6A114660-664D-4410-B195-A4B157D4B379}" xr6:coauthVersionLast="47" xr6:coauthVersionMax="47" xr10:uidLastSave="{00000000-0000-0000-0000-000000000000}"/>
  <bookViews>
    <workbookView xWindow="-120" yWindow="-120" windowWidth="20730" windowHeight="11160" xr2:uid="{00000000-000D-0000-FFFF-FFFF00000000}"/>
  </bookViews>
  <sheets>
    <sheet name="入力画面1" sheetId="5" r:id="rId1"/>
    <sheet name="変換入力画面" sheetId="4" state="hidden" r:id="rId2"/>
    <sheet name="ヘルマート変換" sheetId="2" state="hidden" r:id="rId3"/>
    <sheet name="アフィン変換" sheetId="3" state="hidden" r:id="rId4"/>
    <sheet name="プリント用"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5" l="1"/>
  <c r="P7" i="5"/>
  <c r="P8" i="5"/>
  <c r="P9" i="5"/>
  <c r="Q6" i="5"/>
  <c r="R6" i="5"/>
  <c r="S6" i="5"/>
  <c r="T6" i="5"/>
  <c r="Q7" i="5"/>
  <c r="R7" i="5"/>
  <c r="S7" i="5"/>
  <c r="T7" i="5"/>
  <c r="Q8" i="5"/>
  <c r="R8" i="5"/>
  <c r="S8" i="5"/>
  <c r="T8" i="5"/>
  <c r="Q9" i="5"/>
  <c r="R9" i="5"/>
  <c r="S9" i="5"/>
  <c r="T9" i="5"/>
  <c r="L33" i="5"/>
  <c r="L34" i="5"/>
  <c r="K15" i="5"/>
  <c r="K16" i="5"/>
  <c r="K17" i="5"/>
  <c r="K18" i="5"/>
  <c r="K19" i="5"/>
  <c r="P10" i="5"/>
  <c r="Q10" i="5"/>
  <c r="R10" i="5"/>
  <c r="S10" i="5"/>
  <c r="T10" i="5"/>
  <c r="P11" i="5"/>
  <c r="Q11" i="5"/>
  <c r="R11" i="5"/>
  <c r="S11" i="5"/>
  <c r="T11" i="5"/>
  <c r="P12" i="5"/>
  <c r="Q12" i="5"/>
  <c r="R12" i="5"/>
  <c r="S12" i="5"/>
  <c r="T12" i="5"/>
  <c r="P13" i="5"/>
  <c r="Q13" i="5"/>
  <c r="R13" i="5"/>
  <c r="S13" i="5"/>
  <c r="T13" i="5"/>
  <c r="P14" i="5"/>
  <c r="Q14" i="5"/>
  <c r="R14" i="5"/>
  <c r="S14" i="5"/>
  <c r="T14" i="5"/>
  <c r="P15" i="5"/>
  <c r="Q15" i="5"/>
  <c r="R15" i="5"/>
  <c r="S15" i="5"/>
  <c r="T15" i="5"/>
  <c r="P16" i="5"/>
  <c r="Q16" i="5"/>
  <c r="R16" i="5"/>
  <c r="S16" i="5"/>
  <c r="T16" i="5"/>
  <c r="P17" i="5"/>
  <c r="Q17" i="5"/>
  <c r="R17" i="5"/>
  <c r="S17" i="5"/>
  <c r="T17" i="5"/>
  <c r="P18" i="5"/>
  <c r="Q18" i="5"/>
  <c r="R18" i="5"/>
  <c r="S18" i="5"/>
  <c r="T18" i="5"/>
  <c r="P19" i="5"/>
  <c r="Q19" i="5"/>
  <c r="R19" i="5"/>
  <c r="S19" i="5"/>
  <c r="T19" i="5"/>
  <c r="P20" i="5"/>
  <c r="Q20" i="5"/>
  <c r="R20" i="5"/>
  <c r="S20" i="5"/>
  <c r="T20" i="5"/>
  <c r="P21" i="5"/>
  <c r="Q21" i="5"/>
  <c r="R21" i="5"/>
  <c r="S21" i="5"/>
  <c r="T21" i="5"/>
  <c r="P22" i="5"/>
  <c r="Q22" i="5"/>
  <c r="R22" i="5"/>
  <c r="S22" i="5"/>
  <c r="T22" i="5"/>
  <c r="P23" i="5"/>
  <c r="Q23" i="5"/>
  <c r="R23" i="5"/>
  <c r="S23" i="5"/>
  <c r="T23" i="5"/>
  <c r="P24" i="5"/>
  <c r="Q24" i="5"/>
  <c r="R24" i="5"/>
  <c r="S24" i="5"/>
  <c r="T24" i="5"/>
  <c r="P25" i="5"/>
  <c r="Q25" i="5"/>
  <c r="R25" i="5"/>
  <c r="S25" i="5"/>
  <c r="T25" i="5"/>
  <c r="P26" i="5"/>
  <c r="Q26" i="5"/>
  <c r="R26" i="5"/>
  <c r="S26" i="5"/>
  <c r="T26" i="5"/>
  <c r="P27" i="5"/>
  <c r="Q27" i="5"/>
  <c r="R27" i="5"/>
  <c r="S27" i="5"/>
  <c r="T27" i="5"/>
  <c r="P28" i="5"/>
  <c r="Q28" i="5"/>
  <c r="R28" i="5"/>
  <c r="S28" i="5"/>
  <c r="T28" i="5"/>
  <c r="P29" i="5"/>
  <c r="Q29" i="5"/>
  <c r="R29" i="5"/>
  <c r="S29" i="5"/>
  <c r="T29" i="5"/>
  <c r="P30" i="5"/>
  <c r="Q30" i="5"/>
  <c r="R30" i="5"/>
  <c r="S30" i="5"/>
  <c r="T30" i="5"/>
  <c r="P31" i="5"/>
  <c r="Q31" i="5"/>
  <c r="R31" i="5"/>
  <c r="S31" i="5"/>
  <c r="T31" i="5"/>
  <c r="P32" i="5"/>
  <c r="Q32" i="5"/>
  <c r="R32" i="5"/>
  <c r="S32" i="5"/>
  <c r="T32" i="5"/>
  <c r="P33" i="5"/>
  <c r="Q33" i="5"/>
  <c r="R33" i="5"/>
  <c r="S33" i="5"/>
  <c r="T33" i="5"/>
  <c r="P34" i="5"/>
  <c r="Q34" i="5"/>
  <c r="R34" i="5"/>
  <c r="S34" i="5"/>
  <c r="T34" i="5"/>
  <c r="Q5" i="5"/>
  <c r="R5" i="5"/>
  <c r="S5" i="5"/>
  <c r="T5" i="5"/>
  <c r="P5" i="5"/>
  <c r="D35" i="5"/>
  <c r="M19" i="5"/>
  <c r="M20" i="5"/>
  <c r="M21" i="5"/>
  <c r="M22" i="5"/>
  <c r="M23" i="5"/>
  <c r="M24" i="5"/>
  <c r="M25" i="5"/>
  <c r="M26" i="5"/>
  <c r="M27" i="5"/>
  <c r="M28" i="5"/>
  <c r="M29" i="5"/>
  <c r="M30" i="5"/>
  <c r="M31" i="5"/>
  <c r="M32" i="5"/>
  <c r="M33" i="5"/>
  <c r="M34" i="5"/>
  <c r="M15" i="5"/>
  <c r="M16" i="5"/>
  <c r="M17" i="5"/>
  <c r="M18" i="5"/>
  <c r="L14" i="5"/>
  <c r="L15" i="5"/>
  <c r="L16" i="5"/>
  <c r="L17" i="5"/>
  <c r="L18" i="5"/>
  <c r="L19" i="5"/>
  <c r="L20" i="5"/>
  <c r="L21" i="5"/>
  <c r="L22" i="5"/>
  <c r="L23" i="5"/>
  <c r="L24" i="5"/>
  <c r="L25" i="5"/>
  <c r="L26" i="5"/>
  <c r="L27" i="5"/>
  <c r="L28" i="5"/>
  <c r="L29" i="5"/>
  <c r="L30" i="5"/>
  <c r="L31" i="5"/>
  <c r="L32" i="5"/>
  <c r="L6" i="5"/>
  <c r="L7" i="5"/>
  <c r="L8" i="5"/>
  <c r="L9" i="5"/>
  <c r="L10" i="5"/>
  <c r="L11" i="5"/>
  <c r="L12" i="5"/>
  <c r="L13" i="5"/>
  <c r="L5" i="5"/>
  <c r="B35" i="5"/>
  <c r="D9" i="3" s="1"/>
  <c r="K6" i="5"/>
  <c r="K7" i="5"/>
  <c r="K8" i="5"/>
  <c r="K9" i="5"/>
  <c r="K10" i="5"/>
  <c r="K11" i="5"/>
  <c r="K12" i="5"/>
  <c r="K13" i="5"/>
  <c r="K14" i="5"/>
  <c r="K20" i="5"/>
  <c r="K21" i="5"/>
  <c r="K22" i="5"/>
  <c r="K23" i="5"/>
  <c r="K24" i="5"/>
  <c r="K25" i="5"/>
  <c r="K26" i="5"/>
  <c r="K27" i="5"/>
  <c r="K28" i="5"/>
  <c r="K29" i="5"/>
  <c r="K30" i="5"/>
  <c r="K31" i="5"/>
  <c r="K32" i="5"/>
  <c r="K5" i="5"/>
  <c r="W1" i="1"/>
  <c r="J1" i="1"/>
  <c r="K45" i="3"/>
  <c r="K42" i="2"/>
  <c r="K35" i="5" l="1"/>
  <c r="M9" i="5"/>
  <c r="M11" i="5"/>
  <c r="M14" i="5"/>
  <c r="AA23" i="5"/>
  <c r="H28" i="4" s="1"/>
  <c r="G23" i="1" s="1"/>
  <c r="K23" i="1" s="1"/>
  <c r="W34" i="5"/>
  <c r="D39" i="4" s="1"/>
  <c r="H78" i="3" s="1"/>
  <c r="Z34" i="5"/>
  <c r="G39" i="4" s="1"/>
  <c r="F75" i="2" s="1"/>
  <c r="Z26" i="5"/>
  <c r="G31" i="4" s="1"/>
  <c r="F31" i="1" s="1"/>
  <c r="J31" i="1" s="1"/>
  <c r="W24" i="5"/>
  <c r="D29" i="4" s="1"/>
  <c r="I68" i="3" s="1"/>
  <c r="X31" i="5"/>
  <c r="E36" i="4" s="1"/>
  <c r="D72" i="2" s="1"/>
  <c r="W31" i="5"/>
  <c r="D36" i="4" s="1"/>
  <c r="H75" i="3" s="1"/>
  <c r="Z22" i="5"/>
  <c r="G27" i="4" s="1"/>
  <c r="F22" i="1" s="1"/>
  <c r="L22" i="1" s="1"/>
  <c r="AA30" i="5"/>
  <c r="H35" i="4" s="1"/>
  <c r="G71" i="2" s="1"/>
  <c r="K71" i="2" s="1"/>
  <c r="W22" i="5"/>
  <c r="D27" i="4" s="1"/>
  <c r="P22" i="1" s="1"/>
  <c r="Z23" i="5"/>
  <c r="G28" i="4" s="1"/>
  <c r="F23" i="1" s="1"/>
  <c r="L23" i="1" s="1"/>
  <c r="Y28" i="5"/>
  <c r="F33" i="4" s="1"/>
  <c r="E69" i="2" s="1"/>
  <c r="X23" i="5"/>
  <c r="E28" i="4" s="1"/>
  <c r="D23" i="1" s="1"/>
  <c r="AA21" i="5"/>
  <c r="H26" i="4" s="1"/>
  <c r="G62" i="2" s="1"/>
  <c r="K62" i="2" s="1"/>
  <c r="W28" i="5"/>
  <c r="D33" i="4" s="1"/>
  <c r="H72" i="3" s="1"/>
  <c r="Y27" i="5"/>
  <c r="F32" i="4" s="1"/>
  <c r="E68" i="2" s="1"/>
  <c r="Y31" i="5"/>
  <c r="F36" i="4" s="1"/>
  <c r="E75" i="3" s="1"/>
  <c r="Y30" i="5"/>
  <c r="F35" i="4" s="1"/>
  <c r="E71" i="2" s="1"/>
  <c r="AA26" i="5"/>
  <c r="H31" i="4" s="1"/>
  <c r="G31" i="1" s="1"/>
  <c r="K31" i="1" s="1"/>
  <c r="X32" i="5"/>
  <c r="E37" i="4" s="1"/>
  <c r="D76" i="3" s="1"/>
  <c r="Y26" i="5"/>
  <c r="F31" i="4" s="1"/>
  <c r="R31" i="1" s="1"/>
  <c r="Z31" i="5"/>
  <c r="G36" i="4" s="1"/>
  <c r="F72" i="2" s="1"/>
  <c r="X26" i="5"/>
  <c r="E31" i="4" s="1"/>
  <c r="D70" i="3" s="1"/>
  <c r="W26" i="5"/>
  <c r="D31" i="4" s="1"/>
  <c r="V31" i="1" s="1"/>
  <c r="Z33" i="5"/>
  <c r="G38" i="4" s="1"/>
  <c r="F74" i="2" s="1"/>
  <c r="X29" i="5"/>
  <c r="E34" i="4" s="1"/>
  <c r="D70" i="2" s="1"/>
  <c r="Z25" i="5"/>
  <c r="G30" i="4" s="1"/>
  <c r="F69" i="3" s="1"/>
  <c r="L69" i="3" s="1"/>
  <c r="Y21" i="5"/>
  <c r="F26" i="4" s="1"/>
  <c r="R21" i="1" s="1"/>
  <c r="AA29" i="5"/>
  <c r="H34" i="4" s="1"/>
  <c r="G70" i="2" s="1"/>
  <c r="K70" i="2" s="1"/>
  <c r="Z21" i="5"/>
  <c r="G26" i="4" s="1"/>
  <c r="F21" i="1" s="1"/>
  <c r="Y33" i="5"/>
  <c r="F38" i="4" s="1"/>
  <c r="E77" i="3" s="1"/>
  <c r="W29" i="5"/>
  <c r="D34" i="4" s="1"/>
  <c r="H73" i="3" s="1"/>
  <c r="W25" i="5"/>
  <c r="D30" i="4" s="1"/>
  <c r="U25" i="1" s="1"/>
  <c r="X21" i="5"/>
  <c r="E26" i="4" s="1"/>
  <c r="D65" i="3" s="1"/>
  <c r="AA33" i="5"/>
  <c r="H38" i="4" s="1"/>
  <c r="G74" i="2" s="1"/>
  <c r="K74" i="2" s="1"/>
  <c r="X33" i="5"/>
  <c r="E38" i="4" s="1"/>
  <c r="D77" i="3" s="1"/>
  <c r="AA28" i="5"/>
  <c r="H33" i="4" s="1"/>
  <c r="G72" i="3" s="1"/>
  <c r="K72" i="3" s="1"/>
  <c r="Y24" i="5"/>
  <c r="F29" i="4" s="1"/>
  <c r="E24" i="1" s="1"/>
  <c r="AA32" i="5"/>
  <c r="H37" i="4" s="1"/>
  <c r="G73" i="2" s="1"/>
  <c r="K73" i="2" s="1"/>
  <c r="Z28" i="5"/>
  <c r="G33" i="4" s="1"/>
  <c r="F72" i="3" s="1"/>
  <c r="J72" i="3" s="1"/>
  <c r="X24" i="5"/>
  <c r="E29" i="4" s="1"/>
  <c r="D68" i="3" s="1"/>
  <c r="W33" i="5"/>
  <c r="D38" i="4" s="1"/>
  <c r="Z30" i="5"/>
  <c r="G35" i="4" s="1"/>
  <c r="X28" i="5"/>
  <c r="E33" i="4" s="1"/>
  <c r="Q33" i="1" s="1"/>
  <c r="AA25" i="5"/>
  <c r="H30" i="4" s="1"/>
  <c r="G25" i="1" s="1"/>
  <c r="K25" i="1" s="1"/>
  <c r="Y23" i="5"/>
  <c r="F28" i="4" s="1"/>
  <c r="E64" i="2" s="1"/>
  <c r="W21" i="5"/>
  <c r="D26" i="4" s="1"/>
  <c r="I62" i="2" s="1"/>
  <c r="Z32" i="5"/>
  <c r="G37" i="4" s="1"/>
  <c r="X30" i="5"/>
  <c r="E35" i="4" s="1"/>
  <c r="AA27" i="5"/>
  <c r="H32" i="4" s="1"/>
  <c r="G71" i="3" s="1"/>
  <c r="K71" i="3" s="1"/>
  <c r="Y25" i="5"/>
  <c r="F30" i="4" s="1"/>
  <c r="E66" i="2" s="1"/>
  <c r="W23" i="5"/>
  <c r="D28" i="4" s="1"/>
  <c r="I67" i="3" s="1"/>
  <c r="AA34" i="5"/>
  <c r="H39" i="4" s="1"/>
  <c r="Y32" i="5"/>
  <c r="F37" i="4" s="1"/>
  <c r="W30" i="5"/>
  <c r="D35" i="4" s="1"/>
  <c r="Z27" i="5"/>
  <c r="G32" i="4" s="1"/>
  <c r="F71" i="3" s="1"/>
  <c r="J71" i="3" s="1"/>
  <c r="X25" i="5"/>
  <c r="E30" i="4" s="1"/>
  <c r="D66" i="2" s="1"/>
  <c r="AA22" i="5"/>
  <c r="H27" i="4" s="1"/>
  <c r="Y34" i="5"/>
  <c r="F39" i="4" s="1"/>
  <c r="W32" i="5"/>
  <c r="D37" i="4" s="1"/>
  <c r="Z29" i="5"/>
  <c r="G34" i="4" s="1"/>
  <c r="X27" i="5"/>
  <c r="E32" i="4" s="1"/>
  <c r="AA24" i="5"/>
  <c r="H29" i="4" s="1"/>
  <c r="Y22" i="5"/>
  <c r="F27" i="4" s="1"/>
  <c r="D22" i="2"/>
  <c r="M5" i="5"/>
  <c r="X34" i="5"/>
  <c r="E39" i="4" s="1"/>
  <c r="AA31" i="5"/>
  <c r="H36" i="4" s="1"/>
  <c r="Y29" i="5"/>
  <c r="F34" i="4" s="1"/>
  <c r="W27" i="5"/>
  <c r="D32" i="4" s="1"/>
  <c r="Z24" i="5"/>
  <c r="G29" i="4" s="1"/>
  <c r="X22" i="5"/>
  <c r="E27" i="4" s="1"/>
  <c r="I29" i="3"/>
  <c r="M10" i="5"/>
  <c r="M8" i="5"/>
  <c r="M7" i="5"/>
  <c r="M6" i="5"/>
  <c r="M12" i="5"/>
  <c r="M13" i="5"/>
  <c r="N14" i="5" l="1"/>
  <c r="N26" i="5"/>
  <c r="N18" i="5"/>
  <c r="O18" i="5" s="1"/>
  <c r="N21" i="5"/>
  <c r="O21" i="5" s="1"/>
  <c r="N34" i="5"/>
  <c r="O34" i="5" s="1"/>
  <c r="N15" i="5"/>
  <c r="O15" i="5" s="1"/>
  <c r="N27" i="5"/>
  <c r="O27" i="5" s="1"/>
  <c r="N30" i="5"/>
  <c r="N22" i="5"/>
  <c r="O22" i="5" s="1"/>
  <c r="N24" i="5"/>
  <c r="O24" i="5" s="1"/>
  <c r="N16" i="5"/>
  <c r="O16" i="5" s="1"/>
  <c r="N28" i="5"/>
  <c r="N32" i="5"/>
  <c r="N33" i="5"/>
  <c r="N23" i="5"/>
  <c r="O23" i="5" s="1"/>
  <c r="N25" i="5"/>
  <c r="O25" i="5" s="1"/>
  <c r="N17" i="5"/>
  <c r="O17" i="5" s="1"/>
  <c r="N29" i="5"/>
  <c r="O29" i="5" s="1"/>
  <c r="N19" i="5"/>
  <c r="O19" i="5" s="1"/>
  <c r="N31" i="5"/>
  <c r="O31" i="5" s="1"/>
  <c r="N20" i="5"/>
  <c r="O20" i="5" s="1"/>
  <c r="N5" i="5"/>
  <c r="O5" i="5" s="1"/>
  <c r="N8" i="5"/>
  <c r="O8" i="5" s="1"/>
  <c r="N6" i="5"/>
  <c r="O6" i="5" s="1"/>
  <c r="N7" i="5"/>
  <c r="N13" i="5"/>
  <c r="O13" i="5" s="1"/>
  <c r="N9" i="5"/>
  <c r="O9" i="5" s="1"/>
  <c r="N10" i="5"/>
  <c r="O10" i="5" s="1"/>
  <c r="N11" i="5"/>
  <c r="O11" i="5" s="1"/>
  <c r="N12" i="5"/>
  <c r="O12" i="5" s="1"/>
  <c r="O14" i="5"/>
  <c r="O30" i="5"/>
  <c r="O32" i="5"/>
  <c r="O7" i="5"/>
  <c r="O33" i="5"/>
  <c r="O28" i="5"/>
  <c r="O26" i="5"/>
  <c r="T23" i="1"/>
  <c r="X23" i="1" s="1"/>
  <c r="G67" i="3"/>
  <c r="K67" i="3" s="1"/>
  <c r="G64" i="2"/>
  <c r="K64" i="2" s="1"/>
  <c r="I24" i="1"/>
  <c r="F67" i="2"/>
  <c r="J67" i="2" s="1"/>
  <c r="H68" i="3"/>
  <c r="U24" i="1"/>
  <c r="F78" i="3"/>
  <c r="J78" i="3" s="1"/>
  <c r="D75" i="3"/>
  <c r="E32" i="1"/>
  <c r="C78" i="3"/>
  <c r="I78" i="3"/>
  <c r="I75" i="2"/>
  <c r="C68" i="3"/>
  <c r="C72" i="2"/>
  <c r="C75" i="3"/>
  <c r="I72" i="2"/>
  <c r="H72" i="2"/>
  <c r="V24" i="1"/>
  <c r="G74" i="3"/>
  <c r="K74" i="3" s="1"/>
  <c r="E72" i="2"/>
  <c r="C65" i="2"/>
  <c r="C24" i="1"/>
  <c r="H24" i="1"/>
  <c r="I65" i="2"/>
  <c r="T34" i="1"/>
  <c r="X34" i="1" s="1"/>
  <c r="E71" i="3"/>
  <c r="P24" i="1"/>
  <c r="D67" i="3"/>
  <c r="R32" i="1"/>
  <c r="C75" i="2"/>
  <c r="H65" i="2"/>
  <c r="H75" i="2"/>
  <c r="F70" i="3"/>
  <c r="J70" i="3" s="1"/>
  <c r="S32" i="1"/>
  <c r="Y32" i="1" s="1"/>
  <c r="I66" i="3"/>
  <c r="I63" i="2"/>
  <c r="V22" i="1"/>
  <c r="U22" i="1"/>
  <c r="E70" i="3"/>
  <c r="W36" i="1"/>
  <c r="V34" i="1"/>
  <c r="H25" i="1"/>
  <c r="C73" i="3"/>
  <c r="F66" i="3"/>
  <c r="J66" i="3" s="1"/>
  <c r="F67" i="3"/>
  <c r="L67" i="3" s="1"/>
  <c r="I66" i="2"/>
  <c r="H66" i="3"/>
  <c r="G70" i="3"/>
  <c r="K70" i="3" s="1"/>
  <c r="C63" i="2"/>
  <c r="C70" i="2"/>
  <c r="G67" i="2"/>
  <c r="K67" i="2" s="1"/>
  <c r="H63" i="2"/>
  <c r="E74" i="2"/>
  <c r="S31" i="1"/>
  <c r="Y31" i="1" s="1"/>
  <c r="F62" i="2"/>
  <c r="J62" i="2" s="1"/>
  <c r="H22" i="1"/>
  <c r="T31" i="1"/>
  <c r="X31" i="1" s="1"/>
  <c r="C22" i="1"/>
  <c r="I70" i="3"/>
  <c r="E33" i="1"/>
  <c r="F65" i="3"/>
  <c r="J21" i="1"/>
  <c r="L21" i="1"/>
  <c r="H67" i="2"/>
  <c r="E67" i="2"/>
  <c r="C67" i="2"/>
  <c r="G21" i="1"/>
  <c r="K21" i="1" s="1"/>
  <c r="H69" i="2"/>
  <c r="F64" i="2"/>
  <c r="J64" i="2" s="1"/>
  <c r="G65" i="3"/>
  <c r="K65" i="3" s="1"/>
  <c r="S21" i="1"/>
  <c r="Y21" i="1" s="1"/>
  <c r="I75" i="3"/>
  <c r="I33" i="1"/>
  <c r="T21" i="1"/>
  <c r="X21" i="1" s="1"/>
  <c r="E31" i="1"/>
  <c r="J72" i="2"/>
  <c r="L72" i="2"/>
  <c r="C69" i="2"/>
  <c r="C72" i="3"/>
  <c r="I72" i="3"/>
  <c r="H70" i="3"/>
  <c r="T33" i="1"/>
  <c r="X33" i="1" s="1"/>
  <c r="C70" i="3"/>
  <c r="P31" i="1"/>
  <c r="F75" i="3"/>
  <c r="L75" i="3" s="1"/>
  <c r="G69" i="2"/>
  <c r="K69" i="2" s="1"/>
  <c r="I31" i="1"/>
  <c r="P33" i="1"/>
  <c r="I22" i="1"/>
  <c r="D74" i="2"/>
  <c r="E67" i="3"/>
  <c r="Q31" i="1"/>
  <c r="C66" i="3"/>
  <c r="E74" i="3"/>
  <c r="S22" i="1"/>
  <c r="Y22" i="1" s="1"/>
  <c r="F63" i="2"/>
  <c r="H33" i="1"/>
  <c r="V33" i="1"/>
  <c r="E72" i="3"/>
  <c r="G33" i="1"/>
  <c r="K33" i="1" s="1"/>
  <c r="U33" i="1"/>
  <c r="C33" i="1"/>
  <c r="S23" i="1"/>
  <c r="Y23" i="1" s="1"/>
  <c r="J22" i="1"/>
  <c r="D73" i="2"/>
  <c r="H70" i="2"/>
  <c r="J23" i="1"/>
  <c r="F66" i="2"/>
  <c r="J66" i="2" s="1"/>
  <c r="R33" i="1"/>
  <c r="E65" i="3"/>
  <c r="H34" i="1"/>
  <c r="I69" i="2"/>
  <c r="Q23" i="1"/>
  <c r="D73" i="3"/>
  <c r="D64" i="2"/>
  <c r="F32" i="1"/>
  <c r="J32" i="1" s="1"/>
  <c r="G76" i="3"/>
  <c r="K76" i="3" s="1"/>
  <c r="H65" i="3"/>
  <c r="C21" i="1"/>
  <c r="U23" i="1"/>
  <c r="P25" i="1"/>
  <c r="C25" i="1"/>
  <c r="U34" i="1"/>
  <c r="V23" i="1"/>
  <c r="P34" i="1"/>
  <c r="H66" i="2"/>
  <c r="C66" i="2"/>
  <c r="D62" i="2"/>
  <c r="F69" i="2"/>
  <c r="J69" i="2" s="1"/>
  <c r="I70" i="2"/>
  <c r="Q21" i="1"/>
  <c r="H69" i="3"/>
  <c r="I73" i="3"/>
  <c r="D34" i="1"/>
  <c r="I25" i="1"/>
  <c r="C23" i="1"/>
  <c r="S33" i="1"/>
  <c r="Y33" i="1" s="1"/>
  <c r="D31" i="1"/>
  <c r="G73" i="3"/>
  <c r="K73" i="3" s="1"/>
  <c r="C69" i="3"/>
  <c r="C34" i="1"/>
  <c r="Q34" i="1"/>
  <c r="P21" i="1"/>
  <c r="F33" i="1"/>
  <c r="L33" i="1" s="1"/>
  <c r="D21" i="1"/>
  <c r="R25" i="1"/>
  <c r="I34" i="1"/>
  <c r="V21" i="1"/>
  <c r="H62" i="2"/>
  <c r="E23" i="1"/>
  <c r="D67" i="2"/>
  <c r="G34" i="1"/>
  <c r="K34" i="1" s="1"/>
  <c r="V25" i="1"/>
  <c r="G77" i="3"/>
  <c r="K77" i="3" s="1"/>
  <c r="H31" i="1"/>
  <c r="J69" i="3"/>
  <c r="C31" i="1"/>
  <c r="E68" i="3"/>
  <c r="F77" i="3"/>
  <c r="H21" i="1"/>
  <c r="L71" i="3"/>
  <c r="R23" i="1"/>
  <c r="S25" i="1"/>
  <c r="Y25" i="1" s="1"/>
  <c r="E65" i="2"/>
  <c r="F68" i="2"/>
  <c r="J68" i="2" s="1"/>
  <c r="U31" i="1"/>
  <c r="D65" i="2"/>
  <c r="D24" i="1"/>
  <c r="Q24" i="1"/>
  <c r="E62" i="2"/>
  <c r="R24" i="1"/>
  <c r="I67" i="2"/>
  <c r="E21" i="1"/>
  <c r="F25" i="1"/>
  <c r="L25" i="1" s="1"/>
  <c r="C62" i="2"/>
  <c r="I21" i="1"/>
  <c r="I69" i="3"/>
  <c r="C74" i="2"/>
  <c r="C77" i="3"/>
  <c r="H74" i="2"/>
  <c r="I74" i="2"/>
  <c r="H77" i="3"/>
  <c r="I77" i="3"/>
  <c r="J75" i="2"/>
  <c r="L75" i="2"/>
  <c r="D63" i="2"/>
  <c r="Q22" i="1"/>
  <c r="D22" i="1"/>
  <c r="D66" i="3"/>
  <c r="P32" i="1"/>
  <c r="U32" i="1"/>
  <c r="H71" i="3"/>
  <c r="I32" i="1"/>
  <c r="I71" i="3"/>
  <c r="V32" i="1"/>
  <c r="C68" i="2"/>
  <c r="H68" i="2"/>
  <c r="I68" i="2"/>
  <c r="C71" i="3"/>
  <c r="H32" i="1"/>
  <c r="C32" i="1"/>
  <c r="R34" i="1"/>
  <c r="E73" i="3"/>
  <c r="E70" i="2"/>
  <c r="E34" i="1"/>
  <c r="T24" i="1"/>
  <c r="X24" i="1" s="1"/>
  <c r="G65" i="2"/>
  <c r="K65" i="2" s="1"/>
  <c r="G68" i="3"/>
  <c r="K68" i="3" s="1"/>
  <c r="G24" i="1"/>
  <c r="K24" i="1" s="1"/>
  <c r="G66" i="3"/>
  <c r="K66" i="3" s="1"/>
  <c r="G22" i="1"/>
  <c r="K22" i="1" s="1"/>
  <c r="T22" i="1"/>
  <c r="X22" i="1" s="1"/>
  <c r="G63" i="2"/>
  <c r="K63" i="2" s="1"/>
  <c r="E22" i="1"/>
  <c r="E66" i="3"/>
  <c r="R22" i="1"/>
  <c r="E63" i="2"/>
  <c r="G68" i="2"/>
  <c r="K68" i="2" s="1"/>
  <c r="G72" i="2"/>
  <c r="K72" i="2" s="1"/>
  <c r="G75" i="3"/>
  <c r="K75" i="3" s="1"/>
  <c r="D71" i="3"/>
  <c r="D68" i="2"/>
  <c r="D32" i="1"/>
  <c r="Q32" i="1"/>
  <c r="D25" i="1"/>
  <c r="D69" i="3"/>
  <c r="H67" i="3"/>
  <c r="C67" i="3"/>
  <c r="H64" i="2"/>
  <c r="I64" i="2"/>
  <c r="C64" i="2"/>
  <c r="H23" i="1"/>
  <c r="I23" i="1"/>
  <c r="U21" i="1"/>
  <c r="C65" i="3"/>
  <c r="I65" i="3"/>
  <c r="J74" i="2"/>
  <c r="L74" i="2"/>
  <c r="L72" i="3"/>
  <c r="G32" i="1"/>
  <c r="K32" i="1" s="1"/>
  <c r="D78" i="3"/>
  <c r="D75" i="2"/>
  <c r="F34" i="1"/>
  <c r="F73" i="3"/>
  <c r="F70" i="2"/>
  <c r="S34" i="1"/>
  <c r="E25" i="1"/>
  <c r="E69" i="3"/>
  <c r="C73" i="2"/>
  <c r="C76" i="3"/>
  <c r="H73" i="2"/>
  <c r="I73" i="2"/>
  <c r="H76" i="3"/>
  <c r="I76" i="3"/>
  <c r="C71" i="2"/>
  <c r="H74" i="3"/>
  <c r="I74" i="3"/>
  <c r="H71" i="2"/>
  <c r="I71" i="2"/>
  <c r="C74" i="3"/>
  <c r="T25" i="1"/>
  <c r="X25" i="1" s="1"/>
  <c r="G69" i="3"/>
  <c r="K69" i="3" s="1"/>
  <c r="G66" i="2"/>
  <c r="K66" i="2" s="1"/>
  <c r="T32" i="1"/>
  <c r="X32" i="1" s="1"/>
  <c r="P23" i="1"/>
  <c r="E78" i="3"/>
  <c r="E75" i="2"/>
  <c r="E76" i="3"/>
  <c r="E73" i="2"/>
  <c r="D71" i="2"/>
  <c r="D74" i="3"/>
  <c r="D33" i="1"/>
  <c r="D72" i="3"/>
  <c r="D69" i="2"/>
  <c r="S24" i="1"/>
  <c r="F65" i="2"/>
  <c r="F24" i="1"/>
  <c r="F68" i="3"/>
  <c r="L31" i="1"/>
  <c r="Q25" i="1"/>
  <c r="G78" i="3"/>
  <c r="K78" i="3" s="1"/>
  <c r="G75" i="2"/>
  <c r="K75" i="2" s="1"/>
  <c r="F73" i="2"/>
  <c r="F76" i="3"/>
  <c r="F74" i="3"/>
  <c r="F71" i="2"/>
  <c r="I31" i="3"/>
  <c r="AA10" i="5" l="1"/>
  <c r="H12" i="4" s="1"/>
  <c r="Z10" i="5"/>
  <c r="G12" i="4" s="1"/>
  <c r="Y10" i="5"/>
  <c r="F12" i="4" s="1"/>
  <c r="AA9" i="5"/>
  <c r="H11" i="4" s="1"/>
  <c r="X10" i="5"/>
  <c r="E12" i="4" s="1"/>
  <c r="X9" i="5"/>
  <c r="E11" i="4" s="1"/>
  <c r="W10" i="5"/>
  <c r="D12" i="4" s="1"/>
  <c r="Z9" i="5"/>
  <c r="G11" i="4" s="1"/>
  <c r="Y9" i="5"/>
  <c r="F11" i="4" s="1"/>
  <c r="W9" i="5"/>
  <c r="D11" i="4" s="1"/>
  <c r="W20" i="5"/>
  <c r="D25" i="4" s="1"/>
  <c r="AA20" i="5"/>
  <c r="H25" i="4" s="1"/>
  <c r="Y20" i="5"/>
  <c r="F25" i="4" s="1"/>
  <c r="Z20" i="5"/>
  <c r="G25" i="4" s="1"/>
  <c r="X20" i="5"/>
  <c r="E25" i="4" s="1"/>
  <c r="L62" i="2"/>
  <c r="W19" i="5"/>
  <c r="D24" i="4" s="1"/>
  <c r="AA19" i="5"/>
  <c r="H24" i="4" s="1"/>
  <c r="Z19" i="5"/>
  <c r="G24" i="4" s="1"/>
  <c r="X19" i="5"/>
  <c r="E24" i="4" s="1"/>
  <c r="Y19" i="5"/>
  <c r="F24" i="4" s="1"/>
  <c r="Y18" i="5"/>
  <c r="F23" i="4" s="1"/>
  <c r="W18" i="5"/>
  <c r="D23" i="4" s="1"/>
  <c r="X18" i="5"/>
  <c r="E23" i="4" s="1"/>
  <c r="AA18" i="5"/>
  <c r="H23" i="4" s="1"/>
  <c r="Z18" i="5"/>
  <c r="G23" i="4" s="1"/>
  <c r="Y11" i="5"/>
  <c r="F16" i="4" s="1"/>
  <c r="E11" i="1" s="1"/>
  <c r="Y12" i="5"/>
  <c r="F17" i="4" s="1"/>
  <c r="E12" i="1" s="1"/>
  <c r="X11" i="5"/>
  <c r="E16" i="4" s="1"/>
  <c r="D55" i="3" s="1"/>
  <c r="L67" i="2"/>
  <c r="L78" i="3"/>
  <c r="W31" i="1"/>
  <c r="L70" i="3"/>
  <c r="L66" i="3"/>
  <c r="W32" i="1"/>
  <c r="L32" i="1"/>
  <c r="J65" i="3"/>
  <c r="L65" i="3"/>
  <c r="J67" i="3"/>
  <c r="W22" i="1"/>
  <c r="L64" i="2"/>
  <c r="W23" i="1"/>
  <c r="W21" i="1"/>
  <c r="J75" i="3"/>
  <c r="Z11" i="5"/>
  <c r="G16" i="4" s="1"/>
  <c r="F11" i="1" s="1"/>
  <c r="L69" i="2"/>
  <c r="J33" i="1"/>
  <c r="Z12" i="5"/>
  <c r="G17" i="4" s="1"/>
  <c r="F53" i="2" s="1"/>
  <c r="J63" i="2"/>
  <c r="L63" i="2"/>
  <c r="AA11" i="5"/>
  <c r="H16" i="4" s="1"/>
  <c r="G11" i="1" s="1"/>
  <c r="W33" i="1"/>
  <c r="L66" i="2"/>
  <c r="W11" i="5"/>
  <c r="D16" i="4" s="1"/>
  <c r="P11" i="1" s="1"/>
  <c r="W25" i="1"/>
  <c r="L68" i="2"/>
  <c r="X5" i="5"/>
  <c r="J25" i="1"/>
  <c r="AA8" i="5"/>
  <c r="X16" i="5"/>
  <c r="E21" i="4" s="1"/>
  <c r="D16" i="1" s="1"/>
  <c r="L77" i="3"/>
  <c r="J77" i="3"/>
  <c r="W16" i="5"/>
  <c r="D21" i="4" s="1"/>
  <c r="C60" i="3" s="1"/>
  <c r="X14" i="5"/>
  <c r="E19" i="4" s="1"/>
  <c r="Q14" i="1" s="1"/>
  <c r="Y6" i="5"/>
  <c r="F8" i="4" s="1"/>
  <c r="W6" i="5"/>
  <c r="D8" i="4" s="1"/>
  <c r="Z14" i="5"/>
  <c r="G19" i="4" s="1"/>
  <c r="AA14" i="5"/>
  <c r="H19" i="4" s="1"/>
  <c r="X8" i="5"/>
  <c r="E10" i="4" s="1"/>
  <c r="L24" i="1"/>
  <c r="J24" i="1"/>
  <c r="Y36" i="1"/>
  <c r="AA7" i="5"/>
  <c r="H9" i="4" s="1"/>
  <c r="X7" i="5"/>
  <c r="E9" i="4" s="1"/>
  <c r="Z16" i="5"/>
  <c r="G21" i="4" s="1"/>
  <c r="Y16" i="5"/>
  <c r="F21" i="4" s="1"/>
  <c r="Y13" i="5"/>
  <c r="F18" i="4" s="1"/>
  <c r="Z15" i="5"/>
  <c r="G20" i="4" s="1"/>
  <c r="Z17" i="5"/>
  <c r="G22" i="4" s="1"/>
  <c r="AA15" i="5"/>
  <c r="H20" i="4" s="1"/>
  <c r="Z8" i="5"/>
  <c r="G10" i="4" s="1"/>
  <c r="AA13" i="5"/>
  <c r="H18" i="4" s="1"/>
  <c r="W15" i="5"/>
  <c r="D20" i="4" s="1"/>
  <c r="Y8" i="5"/>
  <c r="F10" i="4" s="1"/>
  <c r="Y17" i="5"/>
  <c r="F22" i="4" s="1"/>
  <c r="Y5" i="5"/>
  <c r="F7" i="4" s="1"/>
  <c r="Z6" i="5"/>
  <c r="G8" i="4" s="1"/>
  <c r="AA12" i="5"/>
  <c r="H17" i="4" s="1"/>
  <c r="X6" i="5"/>
  <c r="E8" i="4" s="1"/>
  <c r="AA5" i="5"/>
  <c r="H7" i="4" s="1"/>
  <c r="Y15" i="5"/>
  <c r="F20" i="4" s="1"/>
  <c r="AA17" i="5"/>
  <c r="H22" i="4" s="1"/>
  <c r="Z7" i="5"/>
  <c r="G9" i="4" s="1"/>
  <c r="L68" i="3"/>
  <c r="J68" i="3"/>
  <c r="AA6" i="5"/>
  <c r="H8" i="4" s="1"/>
  <c r="W14" i="5"/>
  <c r="D19" i="4" s="1"/>
  <c r="W5" i="5"/>
  <c r="D7" i="4" s="1"/>
  <c r="X17" i="5"/>
  <c r="E22" i="4" s="1"/>
  <c r="AA16" i="5"/>
  <c r="H21" i="4" s="1"/>
  <c r="Y7" i="5"/>
  <c r="F9" i="4" s="1"/>
  <c r="J65" i="2"/>
  <c r="L65" i="2"/>
  <c r="L71" i="2"/>
  <c r="J71" i="2"/>
  <c r="W7" i="5"/>
  <c r="D9" i="4" s="1"/>
  <c r="Z13" i="5"/>
  <c r="G18" i="4" s="1"/>
  <c r="X12" i="5"/>
  <c r="E17" i="4" s="1"/>
  <c r="Y34" i="1"/>
  <c r="W34" i="1"/>
  <c r="X13" i="5"/>
  <c r="E18" i="4" s="1"/>
  <c r="W8" i="5"/>
  <c r="D10" i="4" s="1"/>
  <c r="Y24" i="1"/>
  <c r="W24" i="1"/>
  <c r="J74" i="3"/>
  <c r="L74" i="3"/>
  <c r="Z5" i="5"/>
  <c r="G7" i="4" s="1"/>
  <c r="W12" i="5"/>
  <c r="D17" i="4" s="1"/>
  <c r="L70" i="2"/>
  <c r="J70" i="2"/>
  <c r="X15" i="5"/>
  <c r="E20" i="4" s="1"/>
  <c r="Y14" i="5"/>
  <c r="F19" i="4" s="1"/>
  <c r="L73" i="3"/>
  <c r="J73" i="3"/>
  <c r="J76" i="3"/>
  <c r="L76" i="3"/>
  <c r="W17" i="5"/>
  <c r="D22" i="4" s="1"/>
  <c r="L73" i="2"/>
  <c r="J73" i="2"/>
  <c r="W13" i="5"/>
  <c r="D18" i="4" s="1"/>
  <c r="L34" i="1"/>
  <c r="J34" i="1"/>
  <c r="D64" i="3" l="1"/>
  <c r="D61" i="2"/>
  <c r="D20" i="1"/>
  <c r="Q20" i="1"/>
  <c r="S20" i="1"/>
  <c r="F61" i="2"/>
  <c r="F20" i="1"/>
  <c r="F64" i="3"/>
  <c r="E20" i="1"/>
  <c r="E61" i="2"/>
  <c r="E64" i="3"/>
  <c r="R20" i="1"/>
  <c r="G61" i="2"/>
  <c r="T20" i="1"/>
  <c r="G20" i="1"/>
  <c r="G64" i="3"/>
  <c r="P20" i="1"/>
  <c r="C20" i="1"/>
  <c r="C61" i="2"/>
  <c r="C64" i="3"/>
  <c r="F60" i="2"/>
  <c r="F19" i="1"/>
  <c r="F63" i="3"/>
  <c r="S19" i="1"/>
  <c r="G60" i="2"/>
  <c r="G63" i="3"/>
  <c r="G19" i="1"/>
  <c r="T19" i="1"/>
  <c r="C63" i="3"/>
  <c r="C19" i="1"/>
  <c r="C60" i="2"/>
  <c r="P19" i="1"/>
  <c r="E60" i="2"/>
  <c r="E19" i="1"/>
  <c r="E63" i="3"/>
  <c r="R19" i="1"/>
  <c r="D63" i="3"/>
  <c r="D60" i="2"/>
  <c r="Q19" i="1"/>
  <c r="D19" i="1"/>
  <c r="F59" i="2"/>
  <c r="S18" i="1"/>
  <c r="F18" i="1"/>
  <c r="F62" i="3"/>
  <c r="G62" i="3"/>
  <c r="G59" i="2"/>
  <c r="G18" i="1"/>
  <c r="T18" i="1"/>
  <c r="D18" i="1"/>
  <c r="D59" i="2"/>
  <c r="Q18" i="1"/>
  <c r="D62" i="3"/>
  <c r="C18" i="1"/>
  <c r="P18" i="1"/>
  <c r="C59" i="2"/>
  <c r="C62" i="3"/>
  <c r="E59" i="2"/>
  <c r="E18" i="1"/>
  <c r="R18" i="1"/>
  <c r="E62" i="3"/>
  <c r="H10" i="4"/>
  <c r="G48" i="2" s="1"/>
  <c r="E7" i="4"/>
  <c r="D7" i="3" s="1"/>
  <c r="D14" i="3" s="1"/>
  <c r="D11" i="1"/>
  <c r="Q11" i="1"/>
  <c r="D52" i="2"/>
  <c r="E53" i="2"/>
  <c r="E52" i="2"/>
  <c r="R11" i="1"/>
  <c r="E55" i="3"/>
  <c r="R12" i="1"/>
  <c r="E56" i="3"/>
  <c r="D58" i="3"/>
  <c r="D14" i="1"/>
  <c r="T11" i="1"/>
  <c r="G52" i="2"/>
  <c r="G55" i="3"/>
  <c r="F52" i="2"/>
  <c r="F55" i="3"/>
  <c r="S11" i="1"/>
  <c r="C55" i="3"/>
  <c r="S12" i="1"/>
  <c r="F12" i="1"/>
  <c r="C11" i="1"/>
  <c r="F56" i="3"/>
  <c r="C52" i="2"/>
  <c r="C57" i="2"/>
  <c r="D60" i="3"/>
  <c r="Q16" i="1"/>
  <c r="D57" i="2"/>
  <c r="D55" i="2"/>
  <c r="P16" i="1"/>
  <c r="C16" i="1"/>
  <c r="F57" i="3"/>
  <c r="S13" i="1"/>
  <c r="F54" i="2"/>
  <c r="F13" i="1"/>
  <c r="Q6" i="1"/>
  <c r="D6" i="1"/>
  <c r="F7" i="2"/>
  <c r="F16" i="2" s="1"/>
  <c r="D47" i="2"/>
  <c r="F7" i="3"/>
  <c r="F14" i="3" s="1"/>
  <c r="D50" i="3"/>
  <c r="C52" i="3"/>
  <c r="P8" i="1"/>
  <c r="C49" i="2"/>
  <c r="C8" i="1"/>
  <c r="S6" i="1"/>
  <c r="F50" i="3"/>
  <c r="F47" i="2"/>
  <c r="F6" i="1"/>
  <c r="F5" i="2"/>
  <c r="F5" i="3"/>
  <c r="G17" i="1"/>
  <c r="G61" i="3"/>
  <c r="T17" i="1"/>
  <c r="G58" i="2"/>
  <c r="R15" i="1"/>
  <c r="E15" i="1"/>
  <c r="E59" i="3"/>
  <c r="E56" i="2"/>
  <c r="G59" i="3"/>
  <c r="T15" i="1"/>
  <c r="G56" i="2"/>
  <c r="G15" i="1"/>
  <c r="H6" i="2"/>
  <c r="G8" i="1"/>
  <c r="G52" i="3"/>
  <c r="H6" i="3"/>
  <c r="T8" i="1"/>
  <c r="G49" i="2"/>
  <c r="C57" i="3"/>
  <c r="C54" i="2"/>
  <c r="P13" i="1"/>
  <c r="C13" i="1"/>
  <c r="C56" i="2"/>
  <c r="P15" i="1"/>
  <c r="C59" i="3"/>
  <c r="C15" i="1"/>
  <c r="I8" i="2"/>
  <c r="I8" i="3"/>
  <c r="E50" i="2"/>
  <c r="E9" i="1"/>
  <c r="R9" i="1"/>
  <c r="E53" i="3"/>
  <c r="P4" i="1"/>
  <c r="C48" i="3"/>
  <c r="C4" i="1"/>
  <c r="C45" i="2"/>
  <c r="D51" i="3"/>
  <c r="D48" i="2"/>
  <c r="D7" i="1"/>
  <c r="Q7" i="1"/>
  <c r="G7" i="2"/>
  <c r="G7" i="3"/>
  <c r="G14" i="3" s="1"/>
  <c r="D46" i="2"/>
  <c r="D5" i="1"/>
  <c r="E7" i="2"/>
  <c r="E16" i="2" s="1"/>
  <c r="E7" i="3"/>
  <c r="E14" i="3" s="1"/>
  <c r="Q5" i="1"/>
  <c r="D49" i="3"/>
  <c r="R14" i="1"/>
  <c r="E58" i="3"/>
  <c r="E14" i="1"/>
  <c r="E55" i="2"/>
  <c r="D8" i="1"/>
  <c r="Q8" i="1"/>
  <c r="D49" i="2"/>
  <c r="D52" i="3"/>
  <c r="H7" i="3"/>
  <c r="H14" i="3" s="1"/>
  <c r="H7" i="2"/>
  <c r="H16" i="2" s="1"/>
  <c r="G56" i="3"/>
  <c r="T12" i="1"/>
  <c r="G53" i="2"/>
  <c r="G12" i="1"/>
  <c r="F59" i="3"/>
  <c r="F15" i="1"/>
  <c r="S15" i="1"/>
  <c r="F56" i="2"/>
  <c r="S14" i="1"/>
  <c r="F55" i="2"/>
  <c r="F14" i="1"/>
  <c r="F58" i="3"/>
  <c r="G47" i="2"/>
  <c r="G50" i="3"/>
  <c r="G6" i="1"/>
  <c r="T6" i="1"/>
  <c r="F6" i="3"/>
  <c r="F6" i="2"/>
  <c r="P7" i="1"/>
  <c r="C48" i="2"/>
  <c r="C7" i="1"/>
  <c r="C51" i="3"/>
  <c r="G5" i="1"/>
  <c r="E6" i="2"/>
  <c r="G46" i="2"/>
  <c r="T5" i="1"/>
  <c r="E6" i="3"/>
  <c r="G49" i="3"/>
  <c r="D56" i="2"/>
  <c r="Q15" i="1"/>
  <c r="D15" i="1"/>
  <c r="D59" i="3"/>
  <c r="D57" i="3"/>
  <c r="Q13" i="1"/>
  <c r="D13" i="1"/>
  <c r="D54" i="2"/>
  <c r="F5" i="1"/>
  <c r="E5" i="2"/>
  <c r="E5" i="3"/>
  <c r="F49" i="3"/>
  <c r="F46" i="2"/>
  <c r="S5" i="1"/>
  <c r="E57" i="3"/>
  <c r="R13" i="1"/>
  <c r="E13" i="1"/>
  <c r="E54" i="2"/>
  <c r="P5" i="1"/>
  <c r="C46" i="2"/>
  <c r="C5" i="1"/>
  <c r="C49" i="3"/>
  <c r="E52" i="3"/>
  <c r="R8" i="1"/>
  <c r="H8" i="3"/>
  <c r="H8" i="2"/>
  <c r="E8" i="1"/>
  <c r="E49" i="2"/>
  <c r="P6" i="1"/>
  <c r="C6" i="1"/>
  <c r="C50" i="3"/>
  <c r="C47" i="2"/>
  <c r="G16" i="1"/>
  <c r="T16" i="1"/>
  <c r="G57" i="2"/>
  <c r="G60" i="3"/>
  <c r="Q17" i="1"/>
  <c r="D17" i="1"/>
  <c r="D58" i="2"/>
  <c r="D61" i="3"/>
  <c r="F52" i="3"/>
  <c r="F8" i="1"/>
  <c r="F49" i="2"/>
  <c r="H5" i="3"/>
  <c r="S8" i="1"/>
  <c r="H5" i="2"/>
  <c r="G4" i="1"/>
  <c r="D6" i="2"/>
  <c r="G48" i="3"/>
  <c r="D6" i="3"/>
  <c r="G45" i="2"/>
  <c r="T4" i="1"/>
  <c r="F17" i="1"/>
  <c r="S17" i="1"/>
  <c r="F61" i="3"/>
  <c r="F58" i="2"/>
  <c r="C17" i="1"/>
  <c r="P17" i="1"/>
  <c r="C61" i="3"/>
  <c r="C58" i="2"/>
  <c r="E47" i="2"/>
  <c r="E6" i="1"/>
  <c r="F8" i="3"/>
  <c r="F8" i="2"/>
  <c r="R6" i="1"/>
  <c r="E50" i="3"/>
  <c r="E48" i="3"/>
  <c r="D8" i="2"/>
  <c r="R4" i="1"/>
  <c r="E45" i="2"/>
  <c r="E4" i="1"/>
  <c r="D8" i="3"/>
  <c r="E60" i="3"/>
  <c r="E57" i="2"/>
  <c r="R16" i="1"/>
  <c r="E16" i="1"/>
  <c r="E49" i="3"/>
  <c r="E5" i="1"/>
  <c r="E8" i="2"/>
  <c r="E46" i="2"/>
  <c r="R5" i="1"/>
  <c r="E8" i="3"/>
  <c r="I6" i="3"/>
  <c r="G50" i="2"/>
  <c r="G9" i="1"/>
  <c r="T9" i="1"/>
  <c r="G53" i="3"/>
  <c r="I6" i="2"/>
  <c r="F48" i="3"/>
  <c r="D5" i="2"/>
  <c r="F4" i="1"/>
  <c r="S4" i="1"/>
  <c r="D5" i="3"/>
  <c r="F45" i="2"/>
  <c r="P9" i="1"/>
  <c r="C9" i="1"/>
  <c r="C50" i="2"/>
  <c r="C53" i="3"/>
  <c r="T13" i="1"/>
  <c r="G57" i="3"/>
  <c r="G13" i="1"/>
  <c r="G54" i="2"/>
  <c r="F51" i="3"/>
  <c r="S7" i="1"/>
  <c r="F48" i="2"/>
  <c r="G5" i="3"/>
  <c r="G5" i="2"/>
  <c r="F7" i="1"/>
  <c r="P14" i="1"/>
  <c r="C55" i="2"/>
  <c r="C14" i="1"/>
  <c r="C58" i="3"/>
  <c r="E61" i="3"/>
  <c r="R17" i="1"/>
  <c r="E58" i="2"/>
  <c r="E17" i="1"/>
  <c r="S16" i="1"/>
  <c r="F60" i="3"/>
  <c r="F16" i="1"/>
  <c r="F57" i="2"/>
  <c r="D9" i="1"/>
  <c r="D53" i="3"/>
  <c r="D50" i="2"/>
  <c r="I7" i="2"/>
  <c r="I16" i="2" s="1"/>
  <c r="Q9" i="1"/>
  <c r="I7" i="3"/>
  <c r="I14" i="3" s="1"/>
  <c r="T14" i="1"/>
  <c r="G55" i="2"/>
  <c r="G14" i="1"/>
  <c r="G58" i="3"/>
  <c r="P12" i="1"/>
  <c r="C12" i="1"/>
  <c r="C53" i="2"/>
  <c r="C56" i="3"/>
  <c r="Q12" i="1"/>
  <c r="D12" i="1"/>
  <c r="D56" i="3"/>
  <c r="D53" i="2"/>
  <c r="E51" i="3"/>
  <c r="G8" i="2"/>
  <c r="G8" i="3"/>
  <c r="E7" i="1"/>
  <c r="E48" i="2"/>
  <c r="R7" i="1"/>
  <c r="I5" i="3"/>
  <c r="I5" i="2"/>
  <c r="S9" i="1"/>
  <c r="F9" i="1"/>
  <c r="F50" i="2"/>
  <c r="F53" i="3"/>
  <c r="G7" i="1" l="1"/>
  <c r="G6" i="3"/>
  <c r="G12" i="3" s="1"/>
  <c r="D45" i="2"/>
  <c r="D48" i="3"/>
  <c r="G6" i="2"/>
  <c r="T7" i="1"/>
  <c r="Q4" i="1"/>
  <c r="D7" i="2"/>
  <c r="D16" i="2" s="1"/>
  <c r="D4" i="1"/>
  <c r="G51" i="3"/>
  <c r="G12" i="2"/>
  <c r="G13" i="2"/>
  <c r="H10" i="3"/>
  <c r="H11" i="3"/>
  <c r="H12" i="3"/>
  <c r="H13" i="3"/>
  <c r="E12" i="3"/>
  <c r="E13" i="3"/>
  <c r="G11" i="2"/>
  <c r="G10" i="2"/>
  <c r="D17" i="2"/>
  <c r="J8" i="2"/>
  <c r="J14" i="3"/>
  <c r="K14" i="3" s="1"/>
  <c r="H12" i="2"/>
  <c r="H13" i="2"/>
  <c r="F12" i="3"/>
  <c r="F13" i="3"/>
  <c r="L14" i="3"/>
  <c r="G11" i="3"/>
  <c r="G10" i="3"/>
  <c r="D11" i="2"/>
  <c r="J5" i="2"/>
  <c r="D13" i="3"/>
  <c r="D12" i="3"/>
  <c r="F10" i="2"/>
  <c r="F11" i="2"/>
  <c r="F12" i="2"/>
  <c r="F13" i="2"/>
  <c r="D11" i="3"/>
  <c r="D10" i="3"/>
  <c r="J5" i="3"/>
  <c r="D15" i="3"/>
  <c r="D16" i="3"/>
  <c r="J8" i="3"/>
  <c r="L15" i="3"/>
  <c r="E11" i="2"/>
  <c r="E10" i="2"/>
  <c r="E17" i="2"/>
  <c r="E18" i="2" s="1"/>
  <c r="E13" i="2"/>
  <c r="E12" i="2"/>
  <c r="I13" i="2"/>
  <c r="I12" i="2"/>
  <c r="F17" i="2"/>
  <c r="F19" i="2" s="1"/>
  <c r="D13" i="2"/>
  <c r="J6" i="2"/>
  <c r="D32" i="2" s="1"/>
  <c r="H17" i="2"/>
  <c r="H18" i="2" s="1"/>
  <c r="E11" i="3"/>
  <c r="E10" i="3"/>
  <c r="G16" i="2"/>
  <c r="F15" i="3"/>
  <c r="F16" i="3"/>
  <c r="H16" i="3"/>
  <c r="H15" i="3"/>
  <c r="I11" i="2"/>
  <c r="I15" i="2" s="1"/>
  <c r="I10" i="2"/>
  <c r="I14" i="2" s="1"/>
  <c r="I12" i="3"/>
  <c r="I13" i="3"/>
  <c r="I15" i="3"/>
  <c r="I16" i="3"/>
  <c r="I11" i="3"/>
  <c r="I10" i="3"/>
  <c r="E15" i="3"/>
  <c r="E16" i="3"/>
  <c r="I17" i="2"/>
  <c r="I19" i="2" s="1"/>
  <c r="J7" i="3"/>
  <c r="F10" i="3"/>
  <c r="F11" i="3"/>
  <c r="G15" i="3"/>
  <c r="G16" i="3"/>
  <c r="G17" i="2"/>
  <c r="H11" i="2"/>
  <c r="H10" i="2"/>
  <c r="I18" i="2" l="1"/>
  <c r="H19" i="2"/>
  <c r="H15" i="2"/>
  <c r="H14" i="2"/>
  <c r="G13" i="3"/>
  <c r="J13" i="3" s="1"/>
  <c r="K13" i="3" s="1"/>
  <c r="J6" i="3"/>
  <c r="D31" i="3" s="1"/>
  <c r="J7" i="2"/>
  <c r="E32" i="2" s="1"/>
  <c r="D19" i="2"/>
  <c r="D12" i="2"/>
  <c r="J12" i="2" s="1"/>
  <c r="D10" i="2"/>
  <c r="J10" i="2" s="1"/>
  <c r="G14" i="2"/>
  <c r="G19" i="2"/>
  <c r="G15" i="2"/>
  <c r="F15" i="2"/>
  <c r="E19" i="2"/>
  <c r="E15" i="2"/>
  <c r="J12" i="3"/>
  <c r="K12" i="3" s="1"/>
  <c r="G18" i="2"/>
  <c r="E14" i="2"/>
  <c r="M14" i="3"/>
  <c r="E26" i="3" s="1"/>
  <c r="D18" i="2"/>
  <c r="F14" i="2"/>
  <c r="D30" i="2"/>
  <c r="D26" i="2"/>
  <c r="H31" i="3"/>
  <c r="H29" i="3"/>
  <c r="J15" i="3"/>
  <c r="K15" i="3" s="1"/>
  <c r="M15" i="3" s="1"/>
  <c r="J11" i="2"/>
  <c r="F30" i="2"/>
  <c r="F32" i="2"/>
  <c r="E26" i="2"/>
  <c r="D28" i="2"/>
  <c r="J11" i="3"/>
  <c r="K11" i="3" s="1"/>
  <c r="J13" i="2"/>
  <c r="L10" i="3"/>
  <c r="L11" i="3"/>
  <c r="D29" i="3"/>
  <c r="E30" i="2"/>
  <c r="J16" i="3"/>
  <c r="K16" i="3" s="1"/>
  <c r="E29" i="3"/>
  <c r="E31" i="3"/>
  <c r="L16" i="3"/>
  <c r="F18" i="2"/>
  <c r="J16" i="2"/>
  <c r="J10" i="3"/>
  <c r="K10" i="3" s="1"/>
  <c r="L12" i="3"/>
  <c r="L13" i="3"/>
  <c r="J17" i="2"/>
  <c r="D14" i="2" l="1"/>
  <c r="J14" i="2" s="1"/>
  <c r="F26" i="2" s="1"/>
  <c r="D15" i="2"/>
  <c r="J15" i="2" s="1"/>
  <c r="F28" i="2" s="1"/>
  <c r="E28" i="2"/>
  <c r="J19" i="2"/>
  <c r="M12" i="3"/>
  <c r="F24" i="3" s="1"/>
  <c r="J18" i="2"/>
  <c r="E24" i="2" s="1"/>
  <c r="M10" i="3"/>
  <c r="D20" i="3" s="1"/>
  <c r="E22" i="3"/>
  <c r="M11" i="3"/>
  <c r="D22" i="3" s="1"/>
  <c r="M13" i="3"/>
  <c r="D24" i="3" s="1"/>
  <c r="G24" i="3"/>
  <c r="E20" i="3"/>
  <c r="M16" i="3"/>
  <c r="D26" i="3" l="1"/>
  <c r="J28" i="2"/>
  <c r="F26" i="3"/>
  <c r="J26" i="2"/>
  <c r="F20" i="3"/>
  <c r="F22" i="3"/>
  <c r="D18" i="3"/>
  <c r="G22" i="3"/>
  <c r="G26" i="3"/>
  <c r="E24" i="3"/>
  <c r="G20" i="3"/>
  <c r="F77" i="2" l="1"/>
  <c r="G35" i="1" s="1"/>
  <c r="J30" i="2"/>
  <c r="H53" i="2" s="1"/>
  <c r="H12" i="1" s="1"/>
  <c r="J12" i="1" s="1"/>
  <c r="J32" i="2"/>
  <c r="I48" i="2" s="1"/>
  <c r="K48" i="2" s="1"/>
  <c r="E37" i="2"/>
  <c r="J37" i="2" s="1"/>
  <c r="K37" i="2" s="1"/>
  <c r="L37" i="2" s="1"/>
  <c r="D77" i="2"/>
  <c r="E35" i="1" s="1"/>
  <c r="E34" i="2"/>
  <c r="E36" i="1" s="1"/>
  <c r="H20" i="3"/>
  <c r="J20" i="3" s="1"/>
  <c r="H26" i="3"/>
  <c r="J26" i="3" s="1"/>
  <c r="H22" i="3"/>
  <c r="J22" i="3" s="1"/>
  <c r="H24" i="3"/>
  <c r="J24" i="3" s="1"/>
  <c r="I61" i="2" l="1"/>
  <c r="H61" i="2"/>
  <c r="I60" i="2"/>
  <c r="H60" i="2"/>
  <c r="I59" i="2"/>
  <c r="I58" i="2"/>
  <c r="I17" i="1" s="1"/>
  <c r="K17" i="1" s="1"/>
  <c r="H59" i="2"/>
  <c r="I49" i="2"/>
  <c r="I50" i="2"/>
  <c r="H50" i="2"/>
  <c r="H49" i="2"/>
  <c r="I53" i="2"/>
  <c r="K53" i="2" s="1"/>
  <c r="I46" i="2"/>
  <c r="K46" i="2" s="1"/>
  <c r="I7" i="1"/>
  <c r="K7" i="1" s="1"/>
  <c r="I52" i="2"/>
  <c r="K52" i="2" s="1"/>
  <c r="I56" i="2"/>
  <c r="K56" i="2" s="1"/>
  <c r="H48" i="2"/>
  <c r="J48" i="2" s="1"/>
  <c r="L48" i="2" s="1"/>
  <c r="H56" i="2"/>
  <c r="J56" i="2" s="1"/>
  <c r="H57" i="2"/>
  <c r="J57" i="2" s="1"/>
  <c r="H46" i="2"/>
  <c r="H5" i="1" s="1"/>
  <c r="J5" i="1" s="1"/>
  <c r="H55" i="2"/>
  <c r="J55" i="2" s="1"/>
  <c r="H47" i="2"/>
  <c r="J47" i="2" s="1"/>
  <c r="H45" i="2"/>
  <c r="H4" i="1" s="1"/>
  <c r="J4" i="1" s="1"/>
  <c r="H58" i="2"/>
  <c r="J58" i="2" s="1"/>
  <c r="J53" i="2"/>
  <c r="H52" i="2"/>
  <c r="J52" i="2" s="1"/>
  <c r="H54" i="2"/>
  <c r="H13" i="1" s="1"/>
  <c r="J13" i="1" s="1"/>
  <c r="I54" i="2"/>
  <c r="I13" i="1" s="1"/>
  <c r="K13" i="1" s="1"/>
  <c r="I57" i="2"/>
  <c r="I16" i="1" s="1"/>
  <c r="K16" i="1" s="1"/>
  <c r="H36" i="2"/>
  <c r="L77" i="2"/>
  <c r="H37" i="2"/>
  <c r="I55" i="2"/>
  <c r="K55" i="2" s="1"/>
  <c r="E39" i="2"/>
  <c r="H39" i="2" s="1"/>
  <c r="H77" i="2"/>
  <c r="I35" i="1" s="1"/>
  <c r="I45" i="2"/>
  <c r="K45" i="2" s="1"/>
  <c r="J77" i="2"/>
  <c r="K35" i="1" s="1"/>
  <c r="I47" i="2"/>
  <c r="K47" i="2" s="1"/>
  <c r="F31" i="3"/>
  <c r="H80" i="3"/>
  <c r="U35" i="1" s="1"/>
  <c r="E41" i="3"/>
  <c r="F34" i="3"/>
  <c r="L81" i="3" s="1"/>
  <c r="U37" i="1" s="1"/>
  <c r="F29" i="3"/>
  <c r="F33" i="3"/>
  <c r="J81" i="3" s="1"/>
  <c r="R37" i="1" s="1"/>
  <c r="D80" i="3"/>
  <c r="Q35" i="1" s="1"/>
  <c r="F80" i="3"/>
  <c r="S35" i="1" s="1"/>
  <c r="E39" i="3"/>
  <c r="G29" i="3"/>
  <c r="J80" i="3"/>
  <c r="W35" i="1" s="1"/>
  <c r="G31" i="3"/>
  <c r="H20" i="1" l="1"/>
  <c r="J20" i="1" s="1"/>
  <c r="J61" i="2"/>
  <c r="I20" i="1"/>
  <c r="K20" i="1" s="1"/>
  <c r="K61" i="2"/>
  <c r="I19" i="1"/>
  <c r="K19" i="1" s="1"/>
  <c r="K60" i="2"/>
  <c r="H19" i="1"/>
  <c r="J19" i="1" s="1"/>
  <c r="L19" i="1" s="1"/>
  <c r="J60" i="2"/>
  <c r="K58" i="2"/>
  <c r="L58" i="2" s="1"/>
  <c r="H18" i="1"/>
  <c r="J18" i="1" s="1"/>
  <c r="J59" i="2"/>
  <c r="I18" i="1"/>
  <c r="K18" i="1" s="1"/>
  <c r="K59" i="2"/>
  <c r="J49" i="2"/>
  <c r="H8" i="1"/>
  <c r="J8" i="1" s="1"/>
  <c r="H9" i="1"/>
  <c r="J9" i="1" s="1"/>
  <c r="J50" i="2"/>
  <c r="I9" i="1"/>
  <c r="K9" i="1" s="1"/>
  <c r="K50" i="2"/>
  <c r="I8" i="1"/>
  <c r="K8" i="1" s="1"/>
  <c r="K49" i="2"/>
  <c r="I5" i="1"/>
  <c r="K5" i="1" s="1"/>
  <c r="L5" i="1" s="1"/>
  <c r="L55" i="2"/>
  <c r="L56" i="2"/>
  <c r="I12" i="1"/>
  <c r="K12" i="1" s="1"/>
  <c r="L12" i="1" s="1"/>
  <c r="H7" i="1"/>
  <c r="J7" i="1" s="1"/>
  <c r="L7" i="1" s="1"/>
  <c r="I15" i="1"/>
  <c r="K15" i="1" s="1"/>
  <c r="H16" i="1"/>
  <c r="J16" i="1" s="1"/>
  <c r="L16" i="1" s="1"/>
  <c r="I11" i="1"/>
  <c r="K11" i="1" s="1"/>
  <c r="L47" i="2"/>
  <c r="H6" i="1"/>
  <c r="J6" i="1" s="1"/>
  <c r="L52" i="2"/>
  <c r="H15" i="1"/>
  <c r="J15" i="1" s="1"/>
  <c r="H14" i="1"/>
  <c r="J14" i="1" s="1"/>
  <c r="L53" i="2"/>
  <c r="J46" i="2"/>
  <c r="L46" i="2" s="1"/>
  <c r="H17" i="1"/>
  <c r="J17" i="1" s="1"/>
  <c r="L17" i="1" s="1"/>
  <c r="H11" i="1"/>
  <c r="J11" i="1" s="1"/>
  <c r="J45" i="2"/>
  <c r="L45" i="2" s="1"/>
  <c r="J54" i="2"/>
  <c r="I14" i="1"/>
  <c r="K14" i="1" s="1"/>
  <c r="K54" i="2"/>
  <c r="L13" i="1"/>
  <c r="K57" i="2"/>
  <c r="L57" i="2" s="1"/>
  <c r="I4" i="1"/>
  <c r="K4" i="1" s="1"/>
  <c r="L4" i="1" s="1"/>
  <c r="I6" i="1"/>
  <c r="K6" i="1" s="1"/>
  <c r="J39" i="2"/>
  <c r="H38" i="2"/>
  <c r="J29" i="3"/>
  <c r="F81" i="3" s="1"/>
  <c r="R36" i="1" s="1"/>
  <c r="J31" i="3"/>
  <c r="J42" i="3"/>
  <c r="K42" i="3" s="1"/>
  <c r="L42" i="3" s="1"/>
  <c r="H41" i="3"/>
  <c r="H42" i="3"/>
  <c r="J40" i="3"/>
  <c r="K40" i="3" s="1"/>
  <c r="L40" i="3" s="1"/>
  <c r="H40" i="3"/>
  <c r="H39" i="3"/>
  <c r="L60" i="2" l="1"/>
  <c r="L61" i="2"/>
  <c r="L20" i="1"/>
  <c r="L15" i="1"/>
  <c r="L59" i="2"/>
  <c r="L18" i="1"/>
  <c r="L50" i="2"/>
  <c r="L9" i="1"/>
  <c r="L8" i="1"/>
  <c r="L49" i="2"/>
  <c r="L6" i="1"/>
  <c r="L11" i="1"/>
  <c r="L14" i="1"/>
  <c r="L54" i="2"/>
  <c r="K39" i="2"/>
  <c r="L39" i="2" s="1"/>
  <c r="E36" i="3"/>
  <c r="H64" i="3" s="1"/>
  <c r="H81" i="3"/>
  <c r="U36" i="1" s="1"/>
  <c r="E37" i="3"/>
  <c r="I64" i="3" s="1"/>
  <c r="U20" i="1" l="1"/>
  <c r="W20" i="1" s="1"/>
  <c r="J64" i="3"/>
  <c r="V20" i="1"/>
  <c r="X20" i="1" s="1"/>
  <c r="K64" i="3"/>
  <c r="I62" i="3"/>
  <c r="I63" i="3"/>
  <c r="H62" i="3"/>
  <c r="H63" i="3"/>
  <c r="V18" i="1"/>
  <c r="X18" i="1" s="1"/>
  <c r="K62" i="3"/>
  <c r="U18" i="1"/>
  <c r="W18" i="1" s="1"/>
  <c r="Y18" i="1" s="1"/>
  <c r="J62" i="3"/>
  <c r="L62" i="3" s="1"/>
  <c r="H61" i="3"/>
  <c r="J61" i="3" s="1"/>
  <c r="H51" i="3"/>
  <c r="U7" i="1" s="1"/>
  <c r="W7" i="1" s="1"/>
  <c r="H53" i="3"/>
  <c r="H52" i="3"/>
  <c r="I51" i="3"/>
  <c r="K51" i="3" s="1"/>
  <c r="I52" i="3"/>
  <c r="I53" i="3"/>
  <c r="H49" i="3"/>
  <c r="U5" i="1" s="1"/>
  <c r="W5" i="1" s="1"/>
  <c r="H58" i="3"/>
  <c r="U14" i="1" s="1"/>
  <c r="W14" i="1" s="1"/>
  <c r="H60" i="3"/>
  <c r="J60" i="3" s="1"/>
  <c r="H56" i="3"/>
  <c r="U12" i="1" s="1"/>
  <c r="W12" i="1" s="1"/>
  <c r="H48" i="3"/>
  <c r="U4" i="1" s="1"/>
  <c r="W4" i="1" s="1"/>
  <c r="H57" i="3"/>
  <c r="U13" i="1" s="1"/>
  <c r="W13" i="1" s="1"/>
  <c r="H55" i="3"/>
  <c r="J55" i="3" s="1"/>
  <c r="H59" i="3"/>
  <c r="U15" i="1" s="1"/>
  <c r="W15" i="1" s="1"/>
  <c r="H50" i="3"/>
  <c r="J50" i="3" s="1"/>
  <c r="I56" i="3"/>
  <c r="I55" i="3"/>
  <c r="I50" i="3"/>
  <c r="I58" i="3"/>
  <c r="I49" i="3"/>
  <c r="I60" i="3"/>
  <c r="I57" i="3"/>
  <c r="I61" i="3"/>
  <c r="I59" i="3"/>
  <c r="I48" i="3"/>
  <c r="L64" i="3" l="1"/>
  <c r="Y20" i="1"/>
  <c r="J51" i="3"/>
  <c r="L51" i="3" s="1"/>
  <c r="U19" i="1"/>
  <c r="W19" i="1" s="1"/>
  <c r="J63" i="3"/>
  <c r="U17" i="1"/>
  <c r="W17" i="1" s="1"/>
  <c r="V19" i="1"/>
  <c r="X19" i="1" s="1"/>
  <c r="K63" i="3"/>
  <c r="J59" i="3"/>
  <c r="J58" i="3"/>
  <c r="J56" i="3"/>
  <c r="U16" i="1"/>
  <c r="W16" i="1" s="1"/>
  <c r="V7" i="1"/>
  <c r="X7" i="1" s="1"/>
  <c r="Y7" i="1" s="1"/>
  <c r="J49" i="3"/>
  <c r="J52" i="3"/>
  <c r="U8" i="1"/>
  <c r="W8" i="1" s="1"/>
  <c r="V9" i="1"/>
  <c r="X9" i="1" s="1"/>
  <c r="K53" i="3"/>
  <c r="J53" i="3"/>
  <c r="L53" i="3" s="1"/>
  <c r="U9" i="1"/>
  <c r="W9" i="1" s="1"/>
  <c r="Y9" i="1" s="1"/>
  <c r="K52" i="3"/>
  <c r="V8" i="1"/>
  <c r="X8" i="1" s="1"/>
  <c r="J48" i="3"/>
  <c r="J57" i="3"/>
  <c r="U6" i="1"/>
  <c r="W6" i="1" s="1"/>
  <c r="U11" i="1"/>
  <c r="W11" i="1" s="1"/>
  <c r="V15" i="1"/>
  <c r="X15" i="1" s="1"/>
  <c r="Y15" i="1" s="1"/>
  <c r="K59" i="3"/>
  <c r="K48" i="3"/>
  <c r="V4" i="1"/>
  <c r="X4" i="1" s="1"/>
  <c r="Y4" i="1" s="1"/>
  <c r="V13" i="1"/>
  <c r="X13" i="1" s="1"/>
  <c r="Y13" i="1" s="1"/>
  <c r="K57" i="3"/>
  <c r="V14" i="1"/>
  <c r="X14" i="1" s="1"/>
  <c r="Y14" i="1" s="1"/>
  <c r="K58" i="3"/>
  <c r="V16" i="1"/>
  <c r="X16" i="1" s="1"/>
  <c r="K60" i="3"/>
  <c r="L60" i="3" s="1"/>
  <c r="K50" i="3"/>
  <c r="L50" i="3" s="1"/>
  <c r="V6" i="1"/>
  <c r="X6" i="1" s="1"/>
  <c r="V17" i="1"/>
  <c r="X17" i="1" s="1"/>
  <c r="K61" i="3"/>
  <c r="L61" i="3" s="1"/>
  <c r="K49" i="3"/>
  <c r="V5" i="1"/>
  <c r="X5" i="1" s="1"/>
  <c r="Y5" i="1" s="1"/>
  <c r="V11" i="1"/>
  <c r="X11" i="1" s="1"/>
  <c r="K55" i="3"/>
  <c r="L55" i="3" s="1"/>
  <c r="V12" i="1"/>
  <c r="X12" i="1" s="1"/>
  <c r="Y12" i="1" s="1"/>
  <c r="K56" i="3"/>
  <c r="L56" i="3" l="1"/>
  <c r="L58" i="3"/>
  <c r="L49" i="3"/>
  <c r="Y17" i="1"/>
  <c r="L59" i="3"/>
  <c r="L63" i="3"/>
  <c r="Y16" i="1"/>
  <c r="L57" i="3"/>
  <c r="Y19" i="1"/>
  <c r="Y8" i="1"/>
  <c r="L52" i="3"/>
  <c r="L48" i="3"/>
  <c r="Y6" i="1"/>
  <c r="Y11" i="1"/>
  <c r="M53" i="3" l="1"/>
</calcChain>
</file>

<file path=xl/sharedStrings.xml><?xml version="1.0" encoding="utf-8"?>
<sst xmlns="http://schemas.openxmlformats.org/spreadsheetml/2006/main" count="350" uniqueCount="149">
  <si>
    <t>ヘルマート変換計算</t>
    <rPh sb="5" eb="7">
      <t>ヘンカン</t>
    </rPh>
    <rPh sb="7" eb="9">
      <t>ケイサン</t>
    </rPh>
    <phoneticPr fontId="2"/>
  </si>
  <si>
    <t>既存座標系を新たな座標系に変換する処理</t>
    <rPh sb="0" eb="2">
      <t>キゾン</t>
    </rPh>
    <rPh sb="2" eb="4">
      <t>ザヒョウ</t>
    </rPh>
    <rPh sb="4" eb="5">
      <t>ケイ</t>
    </rPh>
    <rPh sb="6" eb="7">
      <t>アラ</t>
    </rPh>
    <rPh sb="9" eb="12">
      <t>ザヒョウケイ</t>
    </rPh>
    <rPh sb="13" eb="15">
      <t>ヘンカン</t>
    </rPh>
    <rPh sb="17" eb="19">
      <t>ショリ</t>
    </rPh>
    <phoneticPr fontId="2"/>
  </si>
  <si>
    <t>入力用</t>
    <rPh sb="0" eb="3">
      <t>ニュウリョクヨウ</t>
    </rPh>
    <phoneticPr fontId="2"/>
  </si>
  <si>
    <t>変換前座標</t>
    <rPh sb="0" eb="2">
      <t>ヘンカン</t>
    </rPh>
    <rPh sb="2" eb="3">
      <t>マエ</t>
    </rPh>
    <rPh sb="3" eb="5">
      <t>ザヒョウ</t>
    </rPh>
    <phoneticPr fontId="2"/>
  </si>
  <si>
    <t>変換座標</t>
    <rPh sb="0" eb="2">
      <t>ヘンカン</t>
    </rPh>
    <rPh sb="2" eb="4">
      <t>ザヒョウ</t>
    </rPh>
    <phoneticPr fontId="2"/>
  </si>
  <si>
    <t>地籍調査座標（読み取り座標等）</t>
    <rPh sb="0" eb="4">
      <t>チセキチョウサ</t>
    </rPh>
    <rPh sb="4" eb="6">
      <t>ザヒョウ</t>
    </rPh>
    <rPh sb="7" eb="8">
      <t>ヨ</t>
    </rPh>
    <rPh sb="9" eb="10">
      <t>ト</t>
    </rPh>
    <rPh sb="11" eb="13">
      <t>ザヒョウ</t>
    </rPh>
    <rPh sb="13" eb="14">
      <t>トウ</t>
    </rPh>
    <phoneticPr fontId="2"/>
  </si>
  <si>
    <t>既存座標のうち
変換の基本とする点</t>
    <rPh sb="0" eb="2">
      <t>キゾン</t>
    </rPh>
    <rPh sb="2" eb="4">
      <t>ザヒョウ</t>
    </rPh>
    <rPh sb="8" eb="10">
      <t>ヘンカン</t>
    </rPh>
    <rPh sb="11" eb="13">
      <t>キホン</t>
    </rPh>
    <rPh sb="16" eb="17">
      <t>テン</t>
    </rPh>
    <phoneticPr fontId="2"/>
  </si>
  <si>
    <t>X座標（x）</t>
    <rPh sb="1" eb="3">
      <t>ザヒョウ</t>
    </rPh>
    <phoneticPr fontId="2"/>
  </si>
  <si>
    <t>Y座標（y）</t>
    <rPh sb="1" eb="3">
      <t>ザヒョウ</t>
    </rPh>
    <phoneticPr fontId="2"/>
  </si>
  <si>
    <t>X座標（Ｘ）</t>
    <rPh sb="1" eb="3">
      <t>ザヒョウ</t>
    </rPh>
    <phoneticPr fontId="2"/>
  </si>
  <si>
    <t>Y座標（Ｙ）</t>
    <rPh sb="1" eb="3">
      <t>ザヒョウ</t>
    </rPh>
    <phoneticPr fontId="2"/>
  </si>
  <si>
    <t>基準とする点</t>
    <rPh sb="0" eb="2">
      <t>キジュン</t>
    </rPh>
    <rPh sb="5" eb="6">
      <t>テン</t>
    </rPh>
    <phoneticPr fontId="2"/>
  </si>
  <si>
    <t>変換を行おうとする点の名称</t>
    <rPh sb="0" eb="2">
      <t>ヘンカン</t>
    </rPh>
    <rPh sb="3" eb="4">
      <t>オコナ</t>
    </rPh>
    <rPh sb="9" eb="10">
      <t>テン</t>
    </rPh>
    <rPh sb="11" eb="13">
      <t>メイショウ</t>
    </rPh>
    <phoneticPr fontId="2"/>
  </si>
  <si>
    <t>変換すべき境界点・基準点</t>
    <rPh sb="0" eb="2">
      <t>ヘンカン</t>
    </rPh>
    <rPh sb="5" eb="8">
      <t>キョウカイテン</t>
    </rPh>
    <rPh sb="9" eb="12">
      <t>キジュンテン</t>
    </rPh>
    <phoneticPr fontId="2"/>
  </si>
  <si>
    <t>パラメータ計算内容</t>
    <rPh sb="5" eb="7">
      <t>ケイサン</t>
    </rPh>
    <rPh sb="7" eb="9">
      <t>ナイヨウ</t>
    </rPh>
    <phoneticPr fontId="2"/>
  </si>
  <si>
    <t>計</t>
    <rPh sb="0" eb="1">
      <t>ケイ</t>
    </rPh>
    <phoneticPr fontId="2"/>
  </si>
  <si>
    <t>入力値</t>
    <rPh sb="0" eb="3">
      <t>ニュウリョクチ</t>
    </rPh>
    <phoneticPr fontId="2"/>
  </si>
  <si>
    <t>Ｘ</t>
    <phoneticPr fontId="2"/>
  </si>
  <si>
    <t>【Ｘ】</t>
    <phoneticPr fontId="2"/>
  </si>
  <si>
    <t>Ｙ</t>
    <phoneticPr fontId="2"/>
  </si>
  <si>
    <t>【Ｙ】</t>
    <phoneticPr fontId="2"/>
  </si>
  <si>
    <t>x</t>
    <phoneticPr fontId="2"/>
  </si>
  <si>
    <t>【x】</t>
    <phoneticPr fontId="2"/>
  </si>
  <si>
    <t>Y</t>
    <phoneticPr fontId="2"/>
  </si>
  <si>
    <t>【y】</t>
    <phoneticPr fontId="2"/>
  </si>
  <si>
    <t>途中経過</t>
    <rPh sb="0" eb="2">
      <t>トチュウ</t>
    </rPh>
    <rPh sb="2" eb="4">
      <t>ケイカ</t>
    </rPh>
    <phoneticPr fontId="2"/>
  </si>
  <si>
    <t>Ｘｘ</t>
    <phoneticPr fontId="2"/>
  </si>
  <si>
    <t>【Ｘｘ】</t>
    <phoneticPr fontId="2"/>
  </si>
  <si>
    <t>Ｘｙ</t>
    <phoneticPr fontId="2"/>
  </si>
  <si>
    <t>【Ｘy】</t>
    <phoneticPr fontId="2"/>
  </si>
  <si>
    <t>Ｙｘ</t>
    <phoneticPr fontId="2"/>
  </si>
  <si>
    <t>【Ｙｘ】</t>
    <phoneticPr fontId="2"/>
  </si>
  <si>
    <t>Ｙｙ</t>
    <phoneticPr fontId="2"/>
  </si>
  <si>
    <t>【Ｙｙ】</t>
    <phoneticPr fontId="2"/>
  </si>
  <si>
    <t>Xｘ+Yｙ</t>
    <phoneticPr fontId="2"/>
  </si>
  <si>
    <t>【Xｘ+Yｙ】</t>
    <phoneticPr fontId="2"/>
  </si>
  <si>
    <t>ｙX-xＹ</t>
    <phoneticPr fontId="2"/>
  </si>
  <si>
    <t>【ｙX-xＹ】</t>
    <phoneticPr fontId="2"/>
  </si>
  <si>
    <t>（x）²</t>
    <phoneticPr fontId="2"/>
  </si>
  <si>
    <t>【x】²</t>
    <phoneticPr fontId="2"/>
  </si>
  <si>
    <t>（y）²</t>
    <phoneticPr fontId="2"/>
  </si>
  <si>
    <t>【y】²</t>
    <phoneticPr fontId="2"/>
  </si>
  <si>
    <t>（x²+y²）</t>
    <phoneticPr fontId="2"/>
  </si>
  <si>
    <t>【x²＋y²】</t>
    <phoneticPr fontId="2"/>
  </si>
  <si>
    <t>（x²-y²）</t>
    <phoneticPr fontId="2"/>
  </si>
  <si>
    <t>【x²－y²】</t>
    <phoneticPr fontId="2"/>
  </si>
  <si>
    <t>n</t>
    <phoneticPr fontId="2"/>
  </si>
  <si>
    <t>パラメータ</t>
    <phoneticPr fontId="2"/>
  </si>
  <si>
    <t>K</t>
    <phoneticPr fontId="2"/>
  </si>
  <si>
    <t>【x】【Ｘ】</t>
    <phoneticPr fontId="2"/>
  </si>
  <si>
    <t>【y】【Ｙ】</t>
    <phoneticPr fontId="2"/>
  </si>
  <si>
    <t>ａ</t>
    <phoneticPr fontId="2"/>
  </si>
  <si>
    <t>【y】【Ｘ】</t>
    <phoneticPr fontId="2"/>
  </si>
  <si>
    <t>【x】【Ｙ】</t>
    <phoneticPr fontId="2"/>
  </si>
  <si>
    <t>ｂ</t>
    <phoneticPr fontId="2"/>
  </si>
  <si>
    <t>【Ｘ】</t>
  </si>
  <si>
    <t>ｃ</t>
    <phoneticPr fontId="2"/>
  </si>
  <si>
    <t>ｃ　移動量</t>
    <rPh sb="2" eb="5">
      <t>イドウリョウ</t>
    </rPh>
    <phoneticPr fontId="2"/>
  </si>
  <si>
    <t>【Ｙ】</t>
  </si>
  <si>
    <t>ｄ</t>
    <phoneticPr fontId="2"/>
  </si>
  <si>
    <t>ｄ　移動量</t>
    <rPh sb="2" eb="5">
      <t>イドウリョウ</t>
    </rPh>
    <phoneticPr fontId="2"/>
  </si>
  <si>
    <t>U</t>
    <phoneticPr fontId="2"/>
  </si>
  <si>
    <t>伸縮率</t>
    <rPh sb="0" eb="2">
      <t>シンシュク</t>
    </rPh>
    <rPh sb="2" eb="3">
      <t>リツ</t>
    </rPh>
    <phoneticPr fontId="2"/>
  </si>
  <si>
    <t>参考</t>
    <rPh sb="0" eb="2">
      <t>サンコウ</t>
    </rPh>
    <phoneticPr fontId="2"/>
  </si>
  <si>
    <t>X軸回転角ラジアン</t>
    <rPh sb="1" eb="2">
      <t>ジク</t>
    </rPh>
    <rPh sb="2" eb="5">
      <t>カイテンカク</t>
    </rPh>
    <phoneticPr fontId="2"/>
  </si>
  <si>
    <t>tan-¹（ｂ/ａ）</t>
  </si>
  <si>
    <t>cosθx</t>
    <phoneticPr fontId="2"/>
  </si>
  <si>
    <t>度</t>
    <rPh sb="0" eb="1">
      <t>ド</t>
    </rPh>
    <phoneticPr fontId="2"/>
  </si>
  <si>
    <t>分</t>
    <rPh sb="0" eb="1">
      <t>フン</t>
    </rPh>
    <phoneticPr fontId="2"/>
  </si>
  <si>
    <t>秒</t>
    <rPh sb="0" eb="1">
      <t>ビョウ</t>
    </rPh>
    <phoneticPr fontId="2"/>
  </si>
  <si>
    <t>sinθx</t>
    <phoneticPr fontId="2"/>
  </si>
  <si>
    <t>X軸回転換算角度</t>
  </si>
  <si>
    <t>Y軸回転角ラジアン</t>
    <rPh sb="1" eb="2">
      <t>ジク</t>
    </rPh>
    <rPh sb="2" eb="5">
      <t>カイテンカク</t>
    </rPh>
    <phoneticPr fontId="2"/>
  </si>
  <si>
    <t>tan-¹（ⅾ/ｃ）</t>
    <phoneticPr fontId="2"/>
  </si>
  <si>
    <t>cosθy</t>
    <phoneticPr fontId="2"/>
  </si>
  <si>
    <t>sinθy</t>
    <phoneticPr fontId="2"/>
  </si>
  <si>
    <t xml:space="preserve"> ヘルマート変換による計算結果</t>
    <rPh sb="6" eb="8">
      <t>ヘンカン</t>
    </rPh>
    <rPh sb="11" eb="13">
      <t>ケイサン</t>
    </rPh>
    <rPh sb="13" eb="15">
      <t>ケッカ</t>
    </rPh>
    <phoneticPr fontId="2"/>
  </si>
  <si>
    <t>①　（変換前実測値）</t>
    <phoneticPr fontId="2"/>
  </si>
  <si>
    <t>②（変換に使用した実測座標）</t>
    <rPh sb="2" eb="4">
      <t>ヘンカン</t>
    </rPh>
    <rPh sb="5" eb="7">
      <t>シヨウ</t>
    </rPh>
    <rPh sb="9" eb="11">
      <t>ジッソク</t>
    </rPh>
    <phoneticPr fontId="2"/>
  </si>
  <si>
    <t>③　①を②によりヘルマート変換した座標値</t>
    <rPh sb="13" eb="15">
      <t>ヘンカン</t>
    </rPh>
    <rPh sb="17" eb="20">
      <t>ザヒョウチ</t>
    </rPh>
    <phoneticPr fontId="2"/>
  </si>
  <si>
    <t>④　差　　②-③</t>
    <rPh sb="2" eb="3">
      <t>サ</t>
    </rPh>
    <phoneticPr fontId="2"/>
  </si>
  <si>
    <t>(ΔⅩ²+ΔＹ²）</t>
    <phoneticPr fontId="2"/>
  </si>
  <si>
    <t>名称</t>
    <rPh sb="0" eb="2">
      <t>メイショウ</t>
    </rPh>
    <phoneticPr fontId="2"/>
  </si>
  <si>
    <t>X座標</t>
    <rPh sb="1" eb="3">
      <t>ザヒョウ</t>
    </rPh>
    <phoneticPr fontId="2"/>
  </si>
  <si>
    <t>Y座標</t>
    <rPh sb="1" eb="3">
      <t>ザヒョウ</t>
    </rPh>
    <phoneticPr fontId="2"/>
  </si>
  <si>
    <t>ΔＸ　差</t>
    <rPh sb="3" eb="4">
      <t>サ</t>
    </rPh>
    <phoneticPr fontId="2"/>
  </si>
  <si>
    <t>ΔＹ　差</t>
    <rPh sb="3" eb="4">
      <t>サ</t>
    </rPh>
    <phoneticPr fontId="2"/>
  </si>
  <si>
    <t>Ｘ座標</t>
    <rPh sb="1" eb="3">
      <t>ザヒョウ</t>
    </rPh>
    <phoneticPr fontId="2"/>
  </si>
  <si>
    <t>Ｙ座標</t>
    <rPh sb="1" eb="3">
      <t>ザヒョウ</t>
    </rPh>
    <phoneticPr fontId="2"/>
  </si>
  <si>
    <t>アフィン変換計算</t>
    <rPh sb="4" eb="6">
      <t>ヘンカン</t>
    </rPh>
    <rPh sb="6" eb="8">
      <t>ケイサン</t>
    </rPh>
    <phoneticPr fontId="2"/>
  </si>
  <si>
    <t>X</t>
    <phoneticPr fontId="2"/>
  </si>
  <si>
    <t>n ×</t>
    <phoneticPr fontId="2"/>
  </si>
  <si>
    <t>小計</t>
    <rPh sb="0" eb="2">
      <t>ショウケイ</t>
    </rPh>
    <phoneticPr fontId="2"/>
  </si>
  <si>
    <t>(Ｘｘ)</t>
    <phoneticPr fontId="2"/>
  </si>
  <si>
    <t>(Ｘy)</t>
    <phoneticPr fontId="2"/>
  </si>
  <si>
    <t>(Ｙｘ)</t>
    <phoneticPr fontId="2"/>
  </si>
  <si>
    <t>(Ｙｙ)</t>
    <phoneticPr fontId="2"/>
  </si>
  <si>
    <t>（xx）</t>
    <phoneticPr fontId="2"/>
  </si>
  <si>
    <t>（yy）</t>
    <phoneticPr fontId="2"/>
  </si>
  <si>
    <t>（xy）</t>
    <phoneticPr fontId="2"/>
  </si>
  <si>
    <t>e</t>
    <phoneticPr fontId="2"/>
  </si>
  <si>
    <t>ｆ</t>
    <phoneticPr fontId="2"/>
  </si>
  <si>
    <t>Ｘ軸の伸縮率</t>
  </si>
  <si>
    <t>Uｘ=√(ａ²+ｂ²）</t>
    <phoneticPr fontId="2"/>
  </si>
  <si>
    <t>Ｙ軸の伸縮率</t>
    <phoneticPr fontId="2"/>
  </si>
  <si>
    <t>Uｙ=√(ｃ²+ｄ²）</t>
    <phoneticPr fontId="2"/>
  </si>
  <si>
    <t>Ｘ軸の平行移動量　ｅ</t>
    <phoneticPr fontId="2"/>
  </si>
  <si>
    <t>Ｙ軸の平行移動量　ｆ</t>
    <phoneticPr fontId="2"/>
  </si>
  <si>
    <t xml:space="preserve"> アフィン変換による計算結果</t>
    <rPh sb="5" eb="7">
      <t>ヘンカン</t>
    </rPh>
    <rPh sb="10" eb="12">
      <t>ケイサン</t>
    </rPh>
    <rPh sb="12" eb="14">
      <t>ケッカ</t>
    </rPh>
    <phoneticPr fontId="2"/>
  </si>
  <si>
    <t>③　①を②によりアフィン変換した座標値</t>
    <rPh sb="12" eb="14">
      <t>ヘンカン</t>
    </rPh>
    <rPh sb="16" eb="19">
      <t>ザヒョウチ</t>
    </rPh>
    <phoneticPr fontId="2"/>
  </si>
  <si>
    <t>変換に使用した実測座標</t>
    <rPh sb="0" eb="2">
      <t>ヘンカン</t>
    </rPh>
    <rPh sb="3" eb="5">
      <t>シヨウ</t>
    </rPh>
    <rPh sb="7" eb="9">
      <t>ジッソク</t>
    </rPh>
    <rPh sb="9" eb="11">
      <t>ザヒョウ</t>
    </rPh>
    <phoneticPr fontId="2"/>
  </si>
  <si>
    <t>↓参考値（変換後の座標と実測との
　　チェックなので入力しなくても可）</t>
    <rPh sb="1" eb="3">
      <t>サンコウ</t>
    </rPh>
    <rPh sb="3" eb="4">
      <t>アタイ</t>
    </rPh>
    <rPh sb="5" eb="7">
      <t>ヘンカン</t>
    </rPh>
    <rPh sb="7" eb="8">
      <t>アト</t>
    </rPh>
    <rPh sb="9" eb="11">
      <t>ザヒョウ</t>
    </rPh>
    <rPh sb="12" eb="14">
      <t>ジッソク</t>
    </rPh>
    <rPh sb="26" eb="28">
      <t>ニュウリョク</t>
    </rPh>
    <rPh sb="33" eb="34">
      <t>カ</t>
    </rPh>
    <phoneticPr fontId="2"/>
  </si>
  <si>
    <t>ヘルマート変換・アフィン変換計算</t>
    <rPh sb="5" eb="7">
      <t>ヘンカン</t>
    </rPh>
    <rPh sb="12" eb="14">
      <t>ヘンカン</t>
    </rPh>
    <rPh sb="14" eb="16">
      <t>ケイサン</t>
    </rPh>
    <phoneticPr fontId="2"/>
  </si>
  <si>
    <t>Ｕ 伸縮率</t>
    <phoneticPr fontId="2"/>
  </si>
  <si>
    <t>Ｘ軸の平行移動量　ｅ</t>
  </si>
  <si>
    <t>Ｘ軸の伸縮率</t>
    <phoneticPr fontId="2"/>
  </si>
  <si>
    <t>Ｙ軸の伸縮率</t>
  </si>
  <si>
    <t>n【Ｘx＋Ｙy】</t>
    <phoneticPr fontId="2"/>
  </si>
  <si>
    <t>n【Ｘx-Ｙy】</t>
    <phoneticPr fontId="2"/>
  </si>
  <si>
    <t>【x】²+【y】²-n【Ｘx+Ｙy】</t>
    <phoneticPr fontId="2"/>
  </si>
  <si>
    <t>ｅ</t>
    <phoneticPr fontId="2"/>
  </si>
  <si>
    <r>
      <t>③　</t>
    </r>
    <r>
      <rPr>
        <sz val="9"/>
        <color theme="1"/>
        <rFont val="ＭＳ ゴシック"/>
        <family val="3"/>
        <charset val="128"/>
      </rPr>
      <t>①を②によりヘルマート
変換した座標値</t>
    </r>
    <rPh sb="14" eb="16">
      <t>ヘンカン</t>
    </rPh>
    <rPh sb="18" eb="21">
      <t>ザヒョウチ</t>
    </rPh>
    <phoneticPr fontId="2"/>
  </si>
  <si>
    <r>
      <t>③　</t>
    </r>
    <r>
      <rPr>
        <sz val="9"/>
        <color theme="1"/>
        <rFont val="ＭＳ ゴシック"/>
        <family val="3"/>
        <charset val="128"/>
      </rPr>
      <t>①を②によりアフィン
変換した座標値</t>
    </r>
    <rPh sb="13" eb="15">
      <t>ヘンカン</t>
    </rPh>
    <rPh sb="17" eb="20">
      <t>ザヒョウチ</t>
    </rPh>
    <phoneticPr fontId="2"/>
  </si>
  <si>
    <t>移動量 ｃ　</t>
    <phoneticPr fontId="2"/>
  </si>
  <si>
    <t>移動量 ｄ</t>
    <rPh sb="0" eb="3">
      <t>イドウリョウ</t>
    </rPh>
    <phoneticPr fontId="2"/>
  </si>
  <si>
    <t xml:space="preserve">伸縮率Ｕ </t>
    <phoneticPr fontId="2"/>
  </si>
  <si>
    <t>差</t>
    <rPh sb="0" eb="1">
      <t>サ</t>
    </rPh>
    <phoneticPr fontId="2"/>
  </si>
  <si>
    <t>変換に使用する実測座標</t>
    <phoneticPr fontId="2"/>
  </si>
  <si>
    <t>番号</t>
    <rPh sb="0" eb="2">
      <t>バンゴウ</t>
    </rPh>
    <phoneticPr fontId="2"/>
  </si>
  <si>
    <t>◯</t>
    <phoneticPr fontId="2"/>
  </si>
  <si>
    <t>既存の境界点・準拠点座標値</t>
    <rPh sb="0" eb="2">
      <t>キゾン</t>
    </rPh>
    <rPh sb="3" eb="6">
      <t>キョウカイテン</t>
    </rPh>
    <rPh sb="7" eb="10">
      <t>ジュンキョテン</t>
    </rPh>
    <rPh sb="10" eb="13">
      <t>ザヒョウチ</t>
    </rPh>
    <phoneticPr fontId="2"/>
  </si>
  <si>
    <t>最終順</t>
    <rPh sb="0" eb="2">
      <t>サイシュウ</t>
    </rPh>
    <rPh sb="2" eb="3">
      <t>ジュン</t>
    </rPh>
    <phoneticPr fontId="2"/>
  </si>
  <si>
    <t>データ最終順</t>
    <rPh sb="3" eb="5">
      <t>サイシュウ</t>
    </rPh>
    <rPh sb="5" eb="6">
      <t>ジュン</t>
    </rPh>
    <phoneticPr fontId="2"/>
  </si>
  <si>
    <t>データ並び替え用テーブル</t>
    <rPh sb="3" eb="4">
      <t>ナラ</t>
    </rPh>
    <rPh sb="5" eb="6">
      <t>カ</t>
    </rPh>
    <rPh sb="7" eb="8">
      <t>ヨウ</t>
    </rPh>
    <phoneticPr fontId="2"/>
  </si>
  <si>
    <t>変換に使用する準拠点に◯</t>
    <rPh sb="0" eb="2">
      <t>ヘンカン</t>
    </rPh>
    <rPh sb="3" eb="5">
      <t>シヨウ</t>
    </rPh>
    <rPh sb="7" eb="10">
      <t>ジュンキョテン</t>
    </rPh>
    <phoneticPr fontId="2"/>
  </si>
  <si>
    <t>X座標
（x）</t>
    <rPh sb="1" eb="3">
      <t>ザヒョウ</t>
    </rPh>
    <phoneticPr fontId="2"/>
  </si>
  <si>
    <t>Y座標
（y）</t>
    <rPh sb="1" eb="3">
      <t>ザヒョウ</t>
    </rPh>
    <phoneticPr fontId="2"/>
  </si>
  <si>
    <t>空白追加</t>
    <rPh sb="0" eb="2">
      <t>クウハク</t>
    </rPh>
    <rPh sb="2" eb="4">
      <t>ツイカ</t>
    </rPh>
    <phoneticPr fontId="2"/>
  </si>
  <si>
    <t>K136</t>
    <phoneticPr fontId="2"/>
  </si>
  <si>
    <t>K61</t>
    <phoneticPr fontId="2"/>
  </si>
  <si>
    <t>K68</t>
    <phoneticPr fontId="2"/>
  </si>
  <si>
    <t>K62</t>
    <phoneticPr fontId="2"/>
  </si>
  <si>
    <t>K101</t>
    <phoneticPr fontId="2"/>
  </si>
  <si>
    <t>K112</t>
    <phoneticPr fontId="2"/>
  </si>
  <si>
    <t>4-408</t>
    <phoneticPr fontId="2"/>
  </si>
  <si>
    <t>4-409</t>
    <phoneticPr fontId="2"/>
  </si>
  <si>
    <t>①　（変換前の座標値）</t>
    <rPh sb="7" eb="10">
      <t>ザヒョウチ</t>
    </rPh>
    <phoneticPr fontId="2"/>
  </si>
  <si>
    <t>②（変換に使用する実測座標）</t>
    <rPh sb="2" eb="4">
      <t>ヘンカン</t>
    </rPh>
    <rPh sb="5" eb="7">
      <t>シヨウ</t>
    </rPh>
    <rPh sb="9" eb="11">
      <t>ジッソク</t>
    </rPh>
    <phoneticPr fontId="2"/>
  </si>
  <si>
    <t>緑色の画面にデータを入力してください。変換の基準となる点（3～6点）に◯印を入力
◯印をつけた点については必ず変換に使用する実測座標を入力してください。
変換の基準となる点が2点の場合は２点法を使用してください</t>
    <rPh sb="0" eb="2">
      <t>ミドリイロ</t>
    </rPh>
    <rPh sb="3" eb="5">
      <t>ガメン</t>
    </rPh>
    <rPh sb="10" eb="12">
      <t>ニュウリョク</t>
    </rPh>
    <rPh sb="19" eb="21">
      <t>ヘンカン</t>
    </rPh>
    <rPh sb="22" eb="24">
      <t>キジュン</t>
    </rPh>
    <rPh sb="27" eb="28">
      <t>テン</t>
    </rPh>
    <rPh sb="32" eb="33">
      <t>テン</t>
    </rPh>
    <rPh sb="36" eb="37">
      <t>シルシ</t>
    </rPh>
    <rPh sb="38" eb="40">
      <t>ニュウリョク</t>
    </rPh>
    <rPh sb="42" eb="43">
      <t>シルシ</t>
    </rPh>
    <rPh sb="47" eb="48">
      <t>テン</t>
    </rPh>
    <rPh sb="53" eb="54">
      <t>カナラ</t>
    </rPh>
    <rPh sb="55" eb="57">
      <t>ヘンカン</t>
    </rPh>
    <rPh sb="58" eb="60">
      <t>シヨウ</t>
    </rPh>
    <rPh sb="62" eb="64">
      <t>ジッソク</t>
    </rPh>
    <rPh sb="64" eb="66">
      <t>ザヒョウ</t>
    </rPh>
    <rPh sb="67" eb="69">
      <t>ニュウリョク</t>
    </rPh>
    <rPh sb="77" eb="79">
      <t>ヘンカン</t>
    </rPh>
    <rPh sb="80" eb="82">
      <t>キジュン</t>
    </rPh>
    <rPh sb="85" eb="86">
      <t>テン</t>
    </rPh>
    <rPh sb="88" eb="89">
      <t>テン</t>
    </rPh>
    <rPh sb="90" eb="92">
      <t>バアイ</t>
    </rPh>
    <rPh sb="94" eb="96">
      <t>テンホウ</t>
    </rPh>
    <rPh sb="97" eb="9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</si>
</sst>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quot; &quot;"/>
    <numFmt numFmtId="177" formatCode="#,##0.000000000&quot; &quot;"/>
    <numFmt numFmtId="178" formatCode="#,##0.00000000&quot; &quot;"/>
    <numFmt numFmtId="179" formatCode="#,##0.0000000&quot; &quot;"/>
    <numFmt numFmtId="180" formatCode="#,##0.0000&quot; &quot;"/>
    <numFmt numFmtId="181" formatCode="#,##0.000000&quot; &quot;"/>
    <numFmt numFmtId="182" formatCode="0.00_ "/>
    <numFmt numFmtId="183" formatCode="yyyy&quot;年&quot;m&quot;月&quot;d&quot;日 作成&quot;"/>
  </numFmts>
  <fonts count="14">
    <font>
      <sz val="11"/>
      <color theme="1"/>
      <name val="Yu Gothic"/>
      <family val="2"/>
      <scheme val="minor"/>
    </font>
    <font>
      <sz val="12"/>
      <color theme="1"/>
      <name val="ＭＳ ゴシック"/>
      <family val="3"/>
      <charset val="128"/>
    </font>
    <font>
      <sz val="6"/>
      <name val="Yu Gothic"/>
      <family val="3"/>
      <charset val="128"/>
      <scheme val="minor"/>
    </font>
    <font>
      <sz val="18"/>
      <color theme="1"/>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2"/>
      <color rgb="FFFF0000"/>
      <name val="ＭＳ ゴシック"/>
      <family val="3"/>
      <charset val="128"/>
    </font>
    <font>
      <sz val="14"/>
      <color theme="1"/>
      <name val="ＭＳ ゴシック"/>
      <family val="3"/>
      <charset val="128"/>
    </font>
    <font>
      <b/>
      <sz val="20"/>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auto="1"/>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style="dotted">
        <color indexed="64"/>
      </top>
      <bottom/>
      <diagonal/>
    </border>
    <border>
      <left style="medium">
        <color indexed="64"/>
      </left>
      <right/>
      <top style="medium">
        <color indexed="64"/>
      </top>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top/>
      <bottom style="dotted">
        <color indexed="64"/>
      </bottom>
      <diagonal/>
    </border>
    <border>
      <left style="dotted">
        <color indexed="64"/>
      </left>
      <right style="medium">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diagonal/>
    </border>
    <border>
      <left style="medium">
        <color indexed="64"/>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style="dotted">
        <color indexed="64"/>
      </top>
      <bottom/>
      <diagonal/>
    </border>
    <border>
      <left style="thin">
        <color indexed="64"/>
      </left>
      <right/>
      <top style="medium">
        <color indexed="64"/>
      </top>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dotted">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431">
    <xf numFmtId="0" fontId="0" fillId="0" borderId="0" xfId="0"/>
    <xf numFmtId="0" fontId="1" fillId="0" borderId="0" xfId="0" applyFont="1" applyProtection="1">
      <protection hidden="1"/>
    </xf>
    <xf numFmtId="0" fontId="1" fillId="0" borderId="0" xfId="0" applyFont="1"/>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1" fillId="0" borderId="0" xfId="0" applyFont="1" applyAlignment="1" applyProtection="1">
      <alignment horizontal="center"/>
      <protection hidden="1"/>
    </xf>
    <xf numFmtId="0" fontId="1" fillId="0" borderId="0" xfId="0" applyFont="1" applyAlignment="1">
      <alignment horizontal="center"/>
    </xf>
    <xf numFmtId="0" fontId="1" fillId="0" borderId="5"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Font="1" applyAlignment="1">
      <alignment horizontal="center" vertical="center"/>
    </xf>
    <xf numFmtId="0" fontId="1" fillId="0" borderId="21" xfId="0" applyFont="1" applyBorder="1" applyAlignment="1" applyProtection="1">
      <alignment horizontal="right" vertical="center"/>
      <protection hidden="1"/>
    </xf>
    <xf numFmtId="49" fontId="1" fillId="3" borderId="22" xfId="0" applyNumberFormat="1" applyFont="1" applyFill="1" applyBorder="1" applyAlignment="1" applyProtection="1">
      <alignment horizontal="center" vertical="center"/>
      <protection locked="0"/>
    </xf>
    <xf numFmtId="176" fontId="1" fillId="3" borderId="22" xfId="0" applyNumberFormat="1" applyFont="1" applyFill="1" applyBorder="1" applyAlignment="1" applyProtection="1">
      <alignment horizontal="right" vertical="center"/>
      <protection locked="0"/>
    </xf>
    <xf numFmtId="49" fontId="1" fillId="0" borderId="5" xfId="0" applyNumberFormat="1" applyFont="1" applyBorder="1" applyAlignment="1" applyProtection="1">
      <alignment horizontal="right" vertical="center"/>
      <protection locked="0"/>
    </xf>
    <xf numFmtId="0" fontId="1" fillId="0" borderId="0" xfId="0" applyFont="1" applyAlignment="1">
      <alignment horizontal="left" vertical="center"/>
    </xf>
    <xf numFmtId="176" fontId="1" fillId="0" borderId="0" xfId="0" applyNumberFormat="1" applyFont="1"/>
    <xf numFmtId="177" fontId="1" fillId="0" borderId="0" xfId="0" applyNumberFormat="1" applyFont="1"/>
    <xf numFmtId="0" fontId="1" fillId="0" borderId="24" xfId="0" applyFont="1" applyBorder="1" applyAlignment="1" applyProtection="1">
      <alignment horizontal="right" vertical="center"/>
      <protection hidden="1"/>
    </xf>
    <xf numFmtId="0" fontId="1" fillId="0" borderId="25" xfId="0" applyFont="1" applyBorder="1" applyAlignment="1" applyProtection="1">
      <alignment horizontal="right" vertical="center"/>
      <protection hidden="1"/>
    </xf>
    <xf numFmtId="176" fontId="6" fillId="3" borderId="22" xfId="0" applyNumberFormat="1" applyFont="1" applyFill="1" applyBorder="1" applyAlignment="1" applyProtection="1">
      <alignment horizontal="right" vertical="center"/>
      <protection locked="0"/>
    </xf>
    <xf numFmtId="178" fontId="1" fillId="0" borderId="0" xfId="0" applyNumberFormat="1" applyFont="1" applyProtection="1">
      <protection hidden="1"/>
    </xf>
    <xf numFmtId="0" fontId="1" fillId="0" borderId="0" xfId="0" applyFont="1" applyAlignment="1">
      <alignment horizontal="left"/>
    </xf>
    <xf numFmtId="176" fontId="7" fillId="0" borderId="0" xfId="0" applyNumberFormat="1" applyFont="1"/>
    <xf numFmtId="0" fontId="1" fillId="0" borderId="26" xfId="0" applyFont="1" applyBorder="1" applyAlignment="1" applyProtection="1">
      <alignment horizontal="right" vertical="center"/>
      <protection hidden="1"/>
    </xf>
    <xf numFmtId="0" fontId="1" fillId="0" borderId="34" xfId="0" applyFont="1" applyBorder="1" applyAlignment="1" applyProtection="1">
      <alignment horizontal="right" vertical="center"/>
      <protection hidden="1"/>
    </xf>
    <xf numFmtId="0" fontId="1" fillId="0" borderId="35" xfId="0" applyFont="1" applyBorder="1" applyAlignment="1" applyProtection="1">
      <alignment horizontal="right" vertical="center"/>
      <protection hidden="1"/>
    </xf>
    <xf numFmtId="176" fontId="6" fillId="3" borderId="36" xfId="0" applyNumberFormat="1" applyFont="1" applyFill="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0" fontId="1" fillId="0" borderId="38" xfId="0" applyFont="1" applyBorder="1" applyAlignment="1" applyProtection="1">
      <alignment horizontal="right" vertical="center"/>
      <protection hidden="1"/>
    </xf>
    <xf numFmtId="0" fontId="1" fillId="0" borderId="0" xfId="0" applyFont="1" applyAlignment="1" applyProtection="1">
      <alignment horizontal="right" vertical="center"/>
      <protection locked="0"/>
    </xf>
    <xf numFmtId="49" fontId="1" fillId="3" borderId="39" xfId="0" applyNumberFormat="1" applyFont="1" applyFill="1" applyBorder="1" applyAlignment="1" applyProtection="1">
      <alignment horizontal="center" vertical="center"/>
      <protection locked="0"/>
    </xf>
    <xf numFmtId="0" fontId="1" fillId="4" borderId="43" xfId="0" applyFont="1" applyFill="1" applyBorder="1" applyAlignment="1" applyProtection="1">
      <alignment vertical="center"/>
      <protection hidden="1"/>
    </xf>
    <xf numFmtId="0" fontId="1" fillId="4" borderId="44" xfId="0" applyFont="1" applyFill="1" applyBorder="1" applyAlignment="1" applyProtection="1">
      <alignment vertical="center"/>
      <protection hidden="1"/>
    </xf>
    <xf numFmtId="0" fontId="1" fillId="4" borderId="44" xfId="0" applyFont="1" applyFill="1" applyBorder="1" applyAlignment="1" applyProtection="1">
      <alignment horizontal="center" vertical="center"/>
      <protection hidden="1"/>
    </xf>
    <xf numFmtId="0" fontId="1" fillId="4" borderId="45" xfId="0" applyFont="1" applyFill="1" applyBorder="1" applyAlignment="1" applyProtection="1">
      <alignment horizontal="center" vertical="center"/>
      <protection hidden="1"/>
    </xf>
    <xf numFmtId="0" fontId="8" fillId="4" borderId="47" xfId="0" applyFont="1" applyFill="1" applyBorder="1" applyAlignment="1" applyProtection="1">
      <alignment horizontal="center" vertical="center"/>
      <protection hidden="1"/>
    </xf>
    <xf numFmtId="176" fontId="1" fillId="4" borderId="47" xfId="0" applyNumberFormat="1" applyFont="1" applyFill="1" applyBorder="1" applyAlignment="1" applyProtection="1">
      <alignment horizontal="right" vertical="center"/>
      <protection hidden="1"/>
    </xf>
    <xf numFmtId="0" fontId="1" fillId="4" borderId="47" xfId="0" applyFont="1" applyFill="1" applyBorder="1" applyAlignment="1" applyProtection="1">
      <alignment horizontal="center" vertical="center"/>
      <protection hidden="1"/>
    </xf>
    <xf numFmtId="180" fontId="1" fillId="4" borderId="48" xfId="0" applyNumberFormat="1" applyFont="1" applyFill="1" applyBorder="1" applyAlignment="1" applyProtection="1">
      <alignment horizontal="right" vertical="center"/>
      <protection hidden="1"/>
    </xf>
    <xf numFmtId="176" fontId="1" fillId="4" borderId="47" xfId="0" applyNumberFormat="1" applyFont="1" applyFill="1" applyBorder="1" applyAlignment="1" applyProtection="1">
      <alignment horizontal="center" vertical="center"/>
      <protection hidden="1"/>
    </xf>
    <xf numFmtId="180" fontId="1" fillId="4" borderId="48" xfId="0" applyNumberFormat="1" applyFont="1" applyFill="1" applyBorder="1" applyAlignment="1" applyProtection="1">
      <alignment horizontal="right"/>
      <protection hidden="1"/>
    </xf>
    <xf numFmtId="0" fontId="8" fillId="4" borderId="51" xfId="0" applyFont="1" applyFill="1" applyBorder="1" applyAlignment="1" applyProtection="1">
      <alignment horizontal="center" vertical="center"/>
      <protection hidden="1"/>
    </xf>
    <xf numFmtId="176" fontId="1" fillId="4" borderId="51" xfId="0" applyNumberFormat="1" applyFont="1" applyFill="1" applyBorder="1" applyAlignment="1" applyProtection="1">
      <alignment horizontal="right"/>
      <protection hidden="1"/>
    </xf>
    <xf numFmtId="176" fontId="1" fillId="4" borderId="51" xfId="0" applyNumberFormat="1" applyFont="1" applyFill="1" applyBorder="1" applyAlignment="1" applyProtection="1">
      <alignment horizontal="right" vertical="center"/>
      <protection hidden="1"/>
    </xf>
    <xf numFmtId="176" fontId="1" fillId="4" borderId="51" xfId="0" applyNumberFormat="1" applyFont="1" applyFill="1" applyBorder="1" applyAlignment="1" applyProtection="1">
      <alignment horizontal="center" vertical="center"/>
      <protection hidden="1"/>
    </xf>
    <xf numFmtId="180" fontId="1" fillId="4" borderId="52" xfId="0" applyNumberFormat="1" applyFont="1" applyFill="1" applyBorder="1" applyAlignment="1" applyProtection="1">
      <alignment horizontal="right"/>
      <protection hidden="1"/>
    </xf>
    <xf numFmtId="176" fontId="1" fillId="4" borderId="44" xfId="0" applyNumberFormat="1" applyFont="1" applyFill="1" applyBorder="1" applyAlignment="1" applyProtection="1">
      <alignment vertical="center"/>
      <protection hidden="1"/>
    </xf>
    <xf numFmtId="176" fontId="1" fillId="4" borderId="44" xfId="0" applyNumberFormat="1" applyFont="1" applyFill="1" applyBorder="1" applyAlignment="1" applyProtection="1">
      <alignment horizontal="center" vertical="center"/>
      <protection hidden="1"/>
    </xf>
    <xf numFmtId="180" fontId="1" fillId="4" borderId="44" xfId="0" applyNumberFormat="1" applyFont="1" applyFill="1" applyBorder="1" applyAlignment="1" applyProtection="1">
      <alignment horizontal="center" vertical="center"/>
      <protection hidden="1"/>
    </xf>
    <xf numFmtId="180" fontId="1" fillId="4" borderId="53" xfId="0" applyNumberFormat="1" applyFont="1" applyFill="1" applyBorder="1" applyAlignment="1" applyProtection="1">
      <alignment horizontal="right" vertical="center"/>
      <protection hidden="1"/>
    </xf>
    <xf numFmtId="0" fontId="1" fillId="4" borderId="54" xfId="0" applyFont="1" applyFill="1" applyBorder="1" applyAlignment="1" applyProtection="1">
      <alignment horizontal="center" vertical="center"/>
      <protection hidden="1"/>
    </xf>
    <xf numFmtId="0" fontId="1" fillId="4" borderId="48" xfId="0" applyFont="1" applyFill="1" applyBorder="1" applyAlignment="1" applyProtection="1">
      <alignment horizontal="center" vertical="center"/>
      <protection hidden="1"/>
    </xf>
    <xf numFmtId="176" fontId="1" fillId="4" borderId="47" xfId="0" applyNumberFormat="1" applyFont="1" applyFill="1" applyBorder="1" applyAlignment="1" applyProtection="1">
      <alignment horizontal="right"/>
      <protection hidden="1"/>
    </xf>
    <xf numFmtId="0" fontId="1" fillId="4" borderId="6" xfId="0" applyFont="1" applyFill="1" applyBorder="1" applyAlignment="1" applyProtection="1">
      <alignment horizontal="center" vertical="center" textRotation="255"/>
      <protection hidden="1"/>
    </xf>
    <xf numFmtId="0" fontId="1" fillId="4" borderId="55" xfId="0" applyFont="1" applyFill="1" applyBorder="1" applyAlignment="1" applyProtection="1">
      <alignment horizontal="center" vertical="center"/>
      <protection hidden="1"/>
    </xf>
    <xf numFmtId="176" fontId="1" fillId="4" borderId="55" xfId="0" applyNumberFormat="1" applyFont="1" applyFill="1" applyBorder="1" applyAlignment="1" applyProtection="1">
      <alignment horizontal="right"/>
      <protection hidden="1"/>
    </xf>
    <xf numFmtId="180" fontId="1" fillId="4" borderId="55" xfId="0" applyNumberFormat="1" applyFont="1" applyFill="1" applyBorder="1" applyAlignment="1" applyProtection="1">
      <alignment horizontal="right"/>
      <protection hidden="1"/>
    </xf>
    <xf numFmtId="180" fontId="1" fillId="4" borderId="56" xfId="0" applyNumberFormat="1" applyFont="1" applyFill="1" applyBorder="1" applyAlignment="1" applyProtection="1">
      <alignment horizontal="right"/>
      <protection hidden="1"/>
    </xf>
    <xf numFmtId="0" fontId="1" fillId="4" borderId="5" xfId="0" applyFont="1" applyFill="1" applyBorder="1" applyAlignment="1" applyProtection="1">
      <alignment horizontal="center" vertical="center" textRotation="255"/>
      <protection hidden="1"/>
    </xf>
    <xf numFmtId="0" fontId="1" fillId="4" borderId="47" xfId="0" applyFont="1" applyFill="1" applyBorder="1" applyAlignment="1">
      <alignment horizontal="center" vertical="center"/>
    </xf>
    <xf numFmtId="176" fontId="1" fillId="4" borderId="44" xfId="0" applyNumberFormat="1" applyFont="1" applyFill="1" applyBorder="1" applyAlignment="1" applyProtection="1">
      <alignment horizontal="right"/>
      <protection hidden="1"/>
    </xf>
    <xf numFmtId="180" fontId="1" fillId="4" borderId="44" xfId="0" applyNumberFormat="1" applyFont="1" applyFill="1" applyBorder="1" applyAlignment="1" applyProtection="1">
      <alignment horizontal="right"/>
      <protection hidden="1"/>
    </xf>
    <xf numFmtId="180" fontId="1" fillId="4" borderId="53" xfId="0" applyNumberFormat="1" applyFont="1" applyFill="1" applyBorder="1" applyAlignment="1" applyProtection="1">
      <alignment horizontal="right"/>
      <protection hidden="1"/>
    </xf>
    <xf numFmtId="0" fontId="1" fillId="4" borderId="47" xfId="0" applyFont="1" applyFill="1" applyBorder="1"/>
    <xf numFmtId="180" fontId="1" fillId="4" borderId="47" xfId="0" applyNumberFormat="1" applyFont="1" applyFill="1" applyBorder="1" applyAlignment="1" applyProtection="1">
      <alignment horizontal="right" vertical="center"/>
      <protection hidden="1"/>
    </xf>
    <xf numFmtId="180" fontId="1" fillId="4" borderId="47" xfId="0" applyNumberFormat="1" applyFont="1" applyFill="1" applyBorder="1" applyAlignment="1" applyProtection="1">
      <alignment horizontal="right"/>
      <protection hidden="1"/>
    </xf>
    <xf numFmtId="181" fontId="1" fillId="4" borderId="47" xfId="0" applyNumberFormat="1" applyFont="1" applyFill="1" applyBorder="1" applyAlignment="1" applyProtection="1">
      <alignment horizontal="right"/>
      <protection hidden="1"/>
    </xf>
    <xf numFmtId="0" fontId="1" fillId="4" borderId="47" xfId="0" applyFont="1" applyFill="1" applyBorder="1" applyAlignment="1" applyProtection="1">
      <alignment horizontal="left" vertical="center"/>
      <protection hidden="1"/>
    </xf>
    <xf numFmtId="181" fontId="1" fillId="4" borderId="47" xfId="0" applyNumberFormat="1" applyFont="1" applyFill="1" applyBorder="1" applyAlignment="1" applyProtection="1">
      <alignment horizontal="right" vertical="center"/>
      <protection hidden="1"/>
    </xf>
    <xf numFmtId="0" fontId="1" fillId="4" borderId="0" xfId="0" applyFont="1" applyFill="1" applyAlignment="1">
      <alignment horizontal="center" vertical="center"/>
    </xf>
    <xf numFmtId="176" fontId="1" fillId="4" borderId="58" xfId="0" applyNumberFormat="1" applyFont="1" applyFill="1" applyBorder="1" applyAlignment="1" applyProtection="1">
      <alignment horizontal="right" vertical="center"/>
      <protection hidden="1"/>
    </xf>
    <xf numFmtId="177" fontId="1" fillId="4" borderId="47" xfId="0" applyNumberFormat="1" applyFont="1" applyFill="1" applyBorder="1" applyAlignment="1" applyProtection="1">
      <alignment horizontal="right"/>
      <protection hidden="1"/>
    </xf>
    <xf numFmtId="0" fontId="1" fillId="4" borderId="60" xfId="0" applyFont="1" applyFill="1" applyBorder="1" applyAlignment="1">
      <alignment horizontal="center" vertical="center"/>
    </xf>
    <xf numFmtId="177" fontId="1" fillId="4" borderId="60" xfId="0" applyNumberFormat="1" applyFont="1" applyFill="1" applyBorder="1" applyAlignment="1" applyProtection="1">
      <alignment horizontal="center" vertical="center"/>
      <protection hidden="1"/>
    </xf>
    <xf numFmtId="0" fontId="1" fillId="4" borderId="60" xfId="0" applyFont="1" applyFill="1" applyBorder="1" applyAlignment="1" applyProtection="1">
      <alignment horizontal="right" vertical="center"/>
      <protection hidden="1"/>
    </xf>
    <xf numFmtId="181" fontId="1" fillId="4" borderId="61" xfId="0" applyNumberFormat="1" applyFont="1" applyFill="1" applyBorder="1" applyAlignment="1" applyProtection="1">
      <alignment horizontal="right" vertical="center"/>
      <protection hidden="1"/>
    </xf>
    <xf numFmtId="177" fontId="1" fillId="4" borderId="60" xfId="0" applyNumberFormat="1" applyFont="1" applyFill="1" applyBorder="1" applyAlignment="1" applyProtection="1">
      <alignment horizontal="right"/>
      <protection hidden="1"/>
    </xf>
    <xf numFmtId="0" fontId="1" fillId="4" borderId="61" xfId="0" applyFont="1" applyFill="1" applyBorder="1" applyAlignment="1" applyProtection="1">
      <alignment horizontal="center" vertical="center"/>
      <protection hidden="1"/>
    </xf>
    <xf numFmtId="178" fontId="1" fillId="4" borderId="62" xfId="0" applyNumberFormat="1" applyFont="1" applyFill="1" applyBorder="1" applyAlignment="1" applyProtection="1">
      <alignment horizontal="center" vertical="center"/>
      <protection hidden="1"/>
    </xf>
    <xf numFmtId="0" fontId="1" fillId="4" borderId="47" xfId="0" applyFont="1" applyFill="1" applyBorder="1" applyProtection="1">
      <protection hidden="1"/>
    </xf>
    <xf numFmtId="0" fontId="1" fillId="4" borderId="47" xfId="0" applyFont="1" applyFill="1" applyBorder="1" applyAlignment="1" applyProtection="1">
      <alignment vertical="center" shrinkToFit="1"/>
      <protection hidden="1"/>
    </xf>
    <xf numFmtId="181" fontId="1" fillId="4" borderId="44" xfId="0" applyNumberFormat="1" applyFont="1" applyFill="1" applyBorder="1" applyAlignment="1" applyProtection="1">
      <alignment vertical="center"/>
      <protection hidden="1"/>
    </xf>
    <xf numFmtId="177" fontId="1" fillId="4" borderId="44" xfId="0" applyNumberFormat="1" applyFont="1" applyFill="1" applyBorder="1" applyAlignment="1" applyProtection="1">
      <alignment horizontal="center" vertical="center"/>
      <protection hidden="1"/>
    </xf>
    <xf numFmtId="182" fontId="1" fillId="4" borderId="47" xfId="0" applyNumberFormat="1" applyFont="1" applyFill="1" applyBorder="1" applyAlignment="1" applyProtection="1">
      <alignment horizontal="right"/>
      <protection hidden="1"/>
    </xf>
    <xf numFmtId="181" fontId="1" fillId="4" borderId="58" xfId="0" applyNumberFormat="1" applyFont="1" applyFill="1" applyBorder="1" applyAlignment="1" applyProtection="1">
      <alignment horizontal="right" vertical="center"/>
      <protection hidden="1"/>
    </xf>
    <xf numFmtId="0" fontId="1" fillId="4" borderId="63" xfId="0" applyFont="1" applyFill="1" applyBorder="1" applyAlignment="1" applyProtection="1">
      <alignment horizontal="right" vertical="center" shrinkToFit="1"/>
      <protection hidden="1"/>
    </xf>
    <xf numFmtId="0" fontId="1" fillId="4" borderId="58" xfId="0" applyFont="1" applyFill="1" applyBorder="1" applyAlignment="1" applyProtection="1">
      <alignment horizontal="center" vertical="center"/>
      <protection hidden="1"/>
    </xf>
    <xf numFmtId="182" fontId="1" fillId="4" borderId="64" xfId="0" applyNumberFormat="1" applyFont="1" applyFill="1" applyBorder="1" applyAlignment="1" applyProtection="1">
      <alignment horizontal="center" vertical="center"/>
      <protection hidden="1"/>
    </xf>
    <xf numFmtId="0" fontId="1" fillId="4" borderId="47" xfId="0" applyFont="1" applyFill="1" applyBorder="1" applyAlignment="1" applyProtection="1">
      <alignment horizontal="right" vertical="center"/>
      <protection hidden="1"/>
    </xf>
    <xf numFmtId="178" fontId="1" fillId="4" borderId="47" xfId="0" applyNumberFormat="1" applyFont="1" applyFill="1" applyBorder="1" applyAlignment="1" applyProtection="1">
      <alignment horizontal="right"/>
      <protection hidden="1"/>
    </xf>
    <xf numFmtId="178" fontId="1" fillId="4" borderId="48" xfId="0" applyNumberFormat="1" applyFont="1" applyFill="1" applyBorder="1" applyAlignment="1" applyProtection="1">
      <alignment horizontal="center" vertical="center"/>
      <protection hidden="1"/>
    </xf>
    <xf numFmtId="0" fontId="1" fillId="4" borderId="66" xfId="0" applyFont="1" applyFill="1" applyBorder="1" applyProtection="1">
      <protection hidden="1"/>
    </xf>
    <xf numFmtId="181" fontId="1" fillId="4" borderId="47" xfId="0" applyNumberFormat="1" applyFont="1" applyFill="1" applyBorder="1" applyAlignment="1" applyProtection="1">
      <alignment vertical="center"/>
      <protection hidden="1"/>
    </xf>
    <xf numFmtId="177" fontId="1" fillId="4" borderId="67" xfId="0" applyNumberFormat="1" applyFont="1" applyFill="1" applyBorder="1" applyAlignment="1" applyProtection="1">
      <alignment horizontal="right"/>
      <protection hidden="1"/>
    </xf>
    <xf numFmtId="182" fontId="1" fillId="4" borderId="66" xfId="0" applyNumberFormat="1" applyFont="1" applyFill="1" applyBorder="1" applyAlignment="1" applyProtection="1">
      <alignment horizontal="right" vertical="center"/>
      <protection hidden="1"/>
    </xf>
    <xf numFmtId="181" fontId="1" fillId="4" borderId="66" xfId="0" applyNumberFormat="1" applyFont="1" applyFill="1" applyBorder="1" applyAlignment="1" applyProtection="1">
      <alignment horizontal="right" vertical="center"/>
      <protection hidden="1"/>
    </xf>
    <xf numFmtId="0" fontId="1" fillId="4" borderId="1" xfId="0" applyFont="1" applyFill="1" applyBorder="1" applyAlignment="1" applyProtection="1">
      <alignment horizontal="right" vertical="center" shrinkToFit="1"/>
      <protection hidden="1"/>
    </xf>
    <xf numFmtId="0" fontId="1" fillId="4" borderId="66" xfId="0" applyFont="1" applyFill="1" applyBorder="1" applyAlignment="1" applyProtection="1">
      <alignment horizontal="center" vertical="center"/>
      <protection hidden="1"/>
    </xf>
    <xf numFmtId="182" fontId="1" fillId="4" borderId="68" xfId="0" applyNumberFormat="1" applyFont="1" applyFill="1" applyBorder="1" applyAlignment="1" applyProtection="1">
      <alignment horizontal="center" vertical="center"/>
      <protection hidden="1"/>
    </xf>
    <xf numFmtId="0" fontId="1" fillId="0" borderId="69" xfId="0" applyFont="1" applyBorder="1" applyAlignment="1" applyProtection="1">
      <alignment horizontal="center" vertical="center"/>
      <protection hidden="1"/>
    </xf>
    <xf numFmtId="0" fontId="1" fillId="0" borderId="69" xfId="0" applyFont="1" applyBorder="1" applyProtection="1">
      <protection hidden="1"/>
    </xf>
    <xf numFmtId="0" fontId="1" fillId="0" borderId="70" xfId="0" applyFont="1" applyBorder="1" applyProtection="1">
      <protection hidden="1"/>
    </xf>
    <xf numFmtId="177" fontId="1" fillId="0" borderId="70" xfId="0" applyNumberFormat="1" applyFont="1" applyBorder="1" applyAlignment="1" applyProtection="1">
      <alignment horizontal="right"/>
      <protection hidden="1"/>
    </xf>
    <xf numFmtId="182" fontId="1" fillId="0" borderId="71" xfId="0" applyNumberFormat="1" applyFont="1" applyBorder="1" applyAlignment="1" applyProtection="1">
      <alignment horizontal="right" vertical="center"/>
      <protection hidden="1"/>
    </xf>
    <xf numFmtId="178" fontId="1" fillId="0" borderId="70" xfId="0" applyNumberFormat="1" applyFont="1" applyBorder="1" applyAlignment="1" applyProtection="1">
      <alignment horizontal="right" vertical="center"/>
      <protection hidden="1"/>
    </xf>
    <xf numFmtId="0" fontId="1" fillId="0" borderId="69" xfId="0" applyFont="1" applyBorder="1" applyAlignment="1" applyProtection="1">
      <alignment horizontal="right" vertical="center" shrinkToFit="1"/>
      <protection hidden="1"/>
    </xf>
    <xf numFmtId="0" fontId="1" fillId="0" borderId="70" xfId="0" applyFont="1" applyBorder="1" applyAlignment="1" applyProtection="1">
      <alignment horizontal="center" vertical="center"/>
      <protection hidden="1"/>
    </xf>
    <xf numFmtId="0" fontId="1" fillId="0" borderId="71" xfId="0" applyFont="1" applyBorder="1" applyAlignment="1" applyProtection="1">
      <alignment horizontal="center" vertical="center"/>
      <protection hidden="1"/>
    </xf>
    <xf numFmtId="182" fontId="1" fillId="0" borderId="71" xfId="0" applyNumberFormat="1" applyFont="1" applyBorder="1" applyAlignment="1" applyProtection="1">
      <alignment horizontal="center" vertical="center"/>
      <protection hidden="1"/>
    </xf>
    <xf numFmtId="177" fontId="1" fillId="0" borderId="0" xfId="0" applyNumberFormat="1" applyFont="1" applyAlignment="1" applyProtection="1">
      <alignment horizontal="right"/>
      <protection hidden="1"/>
    </xf>
    <xf numFmtId="182" fontId="1" fillId="0" borderId="0" xfId="0" applyNumberFormat="1" applyFont="1" applyAlignment="1" applyProtection="1">
      <alignment horizontal="right" vertical="center"/>
      <protection hidden="1"/>
    </xf>
    <xf numFmtId="178" fontId="1" fillId="0" borderId="0" xfId="0" applyNumberFormat="1" applyFont="1" applyAlignment="1" applyProtection="1">
      <alignment horizontal="right" vertical="center"/>
      <protection hidden="1"/>
    </xf>
    <xf numFmtId="0" fontId="1" fillId="0" borderId="0" xfId="0" applyFont="1" applyAlignment="1" applyProtection="1">
      <alignment horizontal="center" vertical="center" shrinkToFit="1"/>
      <protection hidden="1"/>
    </xf>
    <xf numFmtId="182" fontId="1" fillId="0" borderId="0" xfId="0" applyNumberFormat="1" applyFont="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1" xfId="0" applyFont="1" applyBorder="1" applyProtection="1">
      <protection hidden="1"/>
    </xf>
    <xf numFmtId="183" fontId="1" fillId="0" borderId="1" xfId="0" applyNumberFormat="1" applyFont="1" applyBorder="1" applyAlignment="1" applyProtection="1">
      <alignment horizontal="right"/>
      <protection hidden="1"/>
    </xf>
    <xf numFmtId="0" fontId="3" fillId="0" borderId="1" xfId="0" applyFont="1" applyBorder="1" applyAlignment="1" applyProtection="1">
      <alignment vertical="center"/>
      <protection hidden="1"/>
    </xf>
    <xf numFmtId="0" fontId="1" fillId="5" borderId="72" xfId="0" applyFont="1" applyFill="1" applyBorder="1" applyAlignment="1" applyProtection="1">
      <alignment horizontal="center" vertical="center"/>
      <protection hidden="1"/>
    </xf>
    <xf numFmtId="0" fontId="1" fillId="5" borderId="73" xfId="0" applyFont="1" applyFill="1" applyBorder="1" applyProtection="1">
      <protection hidden="1"/>
    </xf>
    <xf numFmtId="0" fontId="1" fillId="5" borderId="77" xfId="0" applyFont="1" applyFill="1" applyBorder="1" applyAlignment="1" applyProtection="1">
      <alignment vertical="center" textRotation="255"/>
      <protection hidden="1"/>
    </xf>
    <xf numFmtId="0" fontId="1" fillId="5" borderId="78" xfId="0" applyFont="1" applyFill="1" applyBorder="1" applyAlignment="1" applyProtection="1">
      <alignment horizontal="center" vertical="center" wrapText="1"/>
      <protection hidden="1"/>
    </xf>
    <xf numFmtId="0" fontId="1" fillId="5" borderId="79" xfId="0" applyFont="1" applyFill="1" applyBorder="1" applyAlignment="1" applyProtection="1">
      <alignment horizontal="center" vertical="center"/>
      <protection hidden="1"/>
    </xf>
    <xf numFmtId="0" fontId="1" fillId="5" borderId="80" xfId="0" applyFont="1" applyFill="1" applyBorder="1" applyAlignment="1" applyProtection="1">
      <alignment horizontal="center" vertical="center"/>
      <protection hidden="1"/>
    </xf>
    <xf numFmtId="0" fontId="1" fillId="5" borderId="81" xfId="0" applyFont="1" applyFill="1" applyBorder="1" applyAlignment="1" applyProtection="1">
      <alignment horizontal="center" vertical="center"/>
      <protection hidden="1"/>
    </xf>
    <xf numFmtId="0" fontId="1" fillId="5" borderId="82" xfId="0" applyFont="1" applyFill="1" applyBorder="1" applyAlignment="1" applyProtection="1">
      <alignment horizontal="center" vertical="center"/>
      <protection hidden="1"/>
    </xf>
    <xf numFmtId="178" fontId="1" fillId="5" borderId="81" xfId="0" applyNumberFormat="1" applyFont="1" applyFill="1" applyBorder="1" applyAlignment="1" applyProtection="1">
      <alignment horizontal="center" vertical="center"/>
      <protection hidden="1"/>
    </xf>
    <xf numFmtId="178" fontId="1" fillId="5" borderId="82" xfId="0" applyNumberFormat="1" applyFont="1" applyFill="1" applyBorder="1" applyAlignment="1" applyProtection="1">
      <alignment horizontal="center" vertical="center"/>
      <protection hidden="1"/>
    </xf>
    <xf numFmtId="0" fontId="1" fillId="5" borderId="21" xfId="0" applyFont="1" applyFill="1" applyBorder="1" applyAlignment="1" applyProtection="1">
      <alignment vertical="center" textRotation="255"/>
      <protection hidden="1"/>
    </xf>
    <xf numFmtId="176" fontId="1" fillId="5" borderId="84" xfId="0" applyNumberFormat="1" applyFont="1" applyFill="1" applyBorder="1" applyAlignment="1" applyProtection="1">
      <alignment vertical="center"/>
      <protection hidden="1"/>
    </xf>
    <xf numFmtId="176" fontId="1" fillId="5" borderId="85" xfId="0" applyNumberFormat="1" applyFont="1" applyFill="1" applyBorder="1" applyAlignment="1" applyProtection="1">
      <alignment vertical="center"/>
      <protection hidden="1"/>
    </xf>
    <xf numFmtId="176" fontId="1" fillId="5" borderId="86" xfId="0" applyNumberFormat="1" applyFont="1" applyFill="1" applyBorder="1" applyAlignment="1" applyProtection="1">
      <alignment vertical="center"/>
      <protection hidden="1"/>
    </xf>
    <xf numFmtId="176" fontId="1" fillId="5" borderId="84" xfId="0" applyNumberFormat="1" applyFont="1" applyFill="1" applyBorder="1" applyAlignment="1" applyProtection="1">
      <alignment horizontal="right" vertical="center"/>
      <protection hidden="1"/>
    </xf>
    <xf numFmtId="176" fontId="1" fillId="5" borderId="86" xfId="0" applyNumberFormat="1" applyFont="1" applyFill="1" applyBorder="1" applyAlignment="1" applyProtection="1">
      <alignment horizontal="right" vertical="center"/>
      <protection hidden="1"/>
    </xf>
    <xf numFmtId="181" fontId="1" fillId="5" borderId="87" xfId="0" applyNumberFormat="1" applyFont="1" applyFill="1" applyBorder="1" applyAlignment="1" applyProtection="1">
      <alignment vertical="center"/>
      <protection hidden="1"/>
    </xf>
    <xf numFmtId="0" fontId="1" fillId="5" borderId="24" xfId="0" applyFont="1" applyFill="1" applyBorder="1" applyAlignment="1" applyProtection="1">
      <alignment vertical="center" textRotation="255"/>
      <protection hidden="1"/>
    </xf>
    <xf numFmtId="176" fontId="1" fillId="5" borderId="88" xfId="0" applyNumberFormat="1" applyFont="1" applyFill="1" applyBorder="1" applyAlignment="1" applyProtection="1">
      <alignment vertical="center"/>
      <protection hidden="1"/>
    </xf>
    <xf numFmtId="176" fontId="1" fillId="5" borderId="54" xfId="0" applyNumberFormat="1" applyFont="1" applyFill="1" applyBorder="1" applyAlignment="1" applyProtection="1">
      <alignment vertical="center"/>
      <protection hidden="1"/>
    </xf>
    <xf numFmtId="176" fontId="1" fillId="5" borderId="89" xfId="0" applyNumberFormat="1" applyFont="1" applyFill="1" applyBorder="1" applyAlignment="1" applyProtection="1">
      <alignment vertical="center"/>
      <protection hidden="1"/>
    </xf>
    <xf numFmtId="176" fontId="1" fillId="5" borderId="88" xfId="0" applyNumberFormat="1" applyFont="1" applyFill="1" applyBorder="1" applyAlignment="1" applyProtection="1">
      <alignment horizontal="right" vertical="center"/>
      <protection hidden="1"/>
    </xf>
    <xf numFmtId="176" fontId="1" fillId="5" borderId="89" xfId="0" applyNumberFormat="1" applyFont="1" applyFill="1" applyBorder="1" applyAlignment="1" applyProtection="1">
      <alignment horizontal="right" vertical="center"/>
      <protection hidden="1"/>
    </xf>
    <xf numFmtId="181" fontId="1" fillId="5" borderId="90" xfId="0" applyNumberFormat="1" applyFont="1" applyFill="1" applyBorder="1" applyAlignment="1" applyProtection="1">
      <alignment vertical="center"/>
      <protection hidden="1"/>
    </xf>
    <xf numFmtId="0" fontId="1" fillId="5" borderId="25" xfId="0" applyFont="1" applyFill="1" applyBorder="1" applyAlignment="1" applyProtection="1">
      <alignment vertical="center" textRotation="255"/>
      <protection hidden="1"/>
    </xf>
    <xf numFmtId="176" fontId="1" fillId="5" borderId="91" xfId="0" applyNumberFormat="1" applyFont="1" applyFill="1" applyBorder="1" applyAlignment="1" applyProtection="1">
      <alignment vertical="center"/>
      <protection hidden="1"/>
    </xf>
    <xf numFmtId="176" fontId="1" fillId="5" borderId="92" xfId="0" applyNumberFormat="1" applyFont="1" applyFill="1" applyBorder="1" applyAlignment="1" applyProtection="1">
      <alignment vertical="center"/>
      <protection hidden="1"/>
    </xf>
    <xf numFmtId="176" fontId="1" fillId="5" borderId="91" xfId="0" applyNumberFormat="1" applyFont="1" applyFill="1" applyBorder="1" applyAlignment="1" applyProtection="1">
      <alignment horizontal="right" vertical="center"/>
      <protection hidden="1"/>
    </xf>
    <xf numFmtId="176" fontId="1" fillId="5" borderId="92" xfId="0" applyNumberFormat="1" applyFont="1" applyFill="1" applyBorder="1" applyAlignment="1" applyProtection="1">
      <alignment horizontal="right" vertical="center"/>
      <protection hidden="1"/>
    </xf>
    <xf numFmtId="176" fontId="1" fillId="5" borderId="93" xfId="0" applyNumberFormat="1" applyFont="1" applyFill="1" applyBorder="1" applyAlignment="1" applyProtection="1">
      <alignment vertical="center"/>
      <protection hidden="1"/>
    </xf>
    <xf numFmtId="176" fontId="1" fillId="5" borderId="94" xfId="0" applyNumberFormat="1" applyFont="1" applyFill="1" applyBorder="1" applyAlignment="1" applyProtection="1">
      <alignment vertical="center"/>
      <protection hidden="1"/>
    </xf>
    <xf numFmtId="181" fontId="1" fillId="5" borderId="95" xfId="0" applyNumberFormat="1" applyFont="1" applyFill="1" applyBorder="1" applyAlignment="1" applyProtection="1">
      <alignment vertical="center"/>
      <protection hidden="1"/>
    </xf>
    <xf numFmtId="0" fontId="1" fillId="5" borderId="35" xfId="0" applyFont="1" applyFill="1" applyBorder="1" applyAlignment="1" applyProtection="1">
      <alignment vertical="center" textRotation="255"/>
      <protection hidden="1"/>
    </xf>
    <xf numFmtId="0" fontId="1" fillId="5" borderId="22" xfId="0" applyFont="1" applyFill="1" applyBorder="1" applyAlignment="1" applyProtection="1">
      <alignment horizontal="center" vertical="center" wrapText="1"/>
      <protection hidden="1"/>
    </xf>
    <xf numFmtId="0" fontId="1" fillId="5" borderId="96" xfId="0" applyFont="1" applyFill="1" applyBorder="1" applyAlignment="1" applyProtection="1">
      <alignment horizontal="center" vertical="center"/>
      <protection hidden="1"/>
    </xf>
    <xf numFmtId="0" fontId="1" fillId="5" borderId="97" xfId="0" applyFont="1" applyFill="1" applyBorder="1" applyAlignment="1" applyProtection="1">
      <alignment horizontal="center" vertical="center"/>
      <protection hidden="1"/>
    </xf>
    <xf numFmtId="0" fontId="1" fillId="5" borderId="98" xfId="0" applyFont="1" applyFill="1" applyBorder="1" applyAlignment="1" applyProtection="1">
      <alignment horizontal="center" vertical="center"/>
      <protection hidden="1"/>
    </xf>
    <xf numFmtId="0" fontId="1" fillId="5" borderId="99" xfId="0" applyFont="1" applyFill="1" applyBorder="1" applyAlignment="1" applyProtection="1">
      <alignment horizontal="center" vertical="center"/>
      <protection hidden="1"/>
    </xf>
    <xf numFmtId="0" fontId="1" fillId="5" borderId="100" xfId="0" applyFont="1" applyFill="1" applyBorder="1" applyAlignment="1" applyProtection="1">
      <alignment horizontal="center" vertical="center"/>
      <protection hidden="1"/>
    </xf>
    <xf numFmtId="0" fontId="1" fillId="5" borderId="19" xfId="0" applyFont="1" applyFill="1" applyBorder="1" applyAlignment="1" applyProtection="1">
      <alignment horizontal="center" vertical="center"/>
      <protection hidden="1"/>
    </xf>
    <xf numFmtId="178" fontId="1" fillId="5" borderId="100" xfId="0" applyNumberFormat="1" applyFont="1" applyFill="1" applyBorder="1" applyAlignment="1" applyProtection="1">
      <alignment horizontal="center" vertical="center"/>
      <protection hidden="1"/>
    </xf>
    <xf numFmtId="178" fontId="1" fillId="5" borderId="101" xfId="0" applyNumberFormat="1" applyFont="1" applyFill="1" applyBorder="1" applyAlignment="1" applyProtection="1">
      <alignment horizontal="center" vertical="center"/>
      <protection hidden="1"/>
    </xf>
    <xf numFmtId="181" fontId="1" fillId="5" borderId="36" xfId="0" applyNumberFormat="1" applyFont="1" applyFill="1" applyBorder="1" applyAlignment="1" applyProtection="1">
      <alignment horizontal="center" vertical="center"/>
      <protection hidden="1"/>
    </xf>
    <xf numFmtId="0" fontId="1" fillId="5" borderId="102" xfId="0" applyFont="1" applyFill="1" applyBorder="1" applyAlignment="1" applyProtection="1">
      <alignment vertical="center" textRotation="255"/>
      <protection hidden="1"/>
    </xf>
    <xf numFmtId="176" fontId="1" fillId="5" borderId="103" xfId="0" applyNumberFormat="1" applyFont="1" applyFill="1" applyBorder="1" applyAlignment="1" applyProtection="1">
      <alignment horizontal="right" vertical="center"/>
      <protection hidden="1"/>
    </xf>
    <xf numFmtId="176" fontId="1" fillId="5" borderId="63" xfId="0" applyNumberFormat="1" applyFont="1" applyFill="1" applyBorder="1" applyAlignment="1" applyProtection="1">
      <alignment vertical="center"/>
      <protection hidden="1"/>
    </xf>
    <xf numFmtId="0" fontId="1" fillId="5" borderId="24" xfId="0" applyFont="1" applyFill="1" applyBorder="1" applyAlignment="1" applyProtection="1">
      <alignment horizontal="center" vertical="center"/>
      <protection hidden="1"/>
    </xf>
    <xf numFmtId="0" fontId="1" fillId="5" borderId="24" xfId="0" applyFont="1" applyFill="1" applyBorder="1" applyAlignment="1">
      <alignment horizontal="center" vertical="center"/>
    </xf>
    <xf numFmtId="178" fontId="1" fillId="0" borderId="0" xfId="0" applyNumberFormat="1" applyFont="1"/>
    <xf numFmtId="0" fontId="1" fillId="5" borderId="26" xfId="0" applyFont="1" applyFill="1" applyBorder="1" applyAlignment="1">
      <alignment horizontal="center" vertical="center"/>
    </xf>
    <xf numFmtId="0" fontId="1" fillId="5" borderId="104" xfId="0" applyFont="1" applyFill="1" applyBorder="1" applyAlignment="1">
      <alignment horizontal="center" vertical="center"/>
    </xf>
    <xf numFmtId="0" fontId="1" fillId="5" borderId="105" xfId="0" applyFont="1" applyFill="1" applyBorder="1" applyAlignment="1">
      <alignment horizontal="center" vertical="center"/>
    </xf>
    <xf numFmtId="176" fontId="1" fillId="5" borderId="106" xfId="0" applyNumberFormat="1" applyFont="1" applyFill="1" applyBorder="1" applyAlignment="1" applyProtection="1">
      <alignment horizontal="right" vertical="center"/>
      <protection hidden="1"/>
    </xf>
    <xf numFmtId="176" fontId="1" fillId="5" borderId="108" xfId="0" applyNumberFormat="1" applyFont="1" applyFill="1" applyBorder="1" applyAlignment="1" applyProtection="1">
      <alignment horizontal="right" vertical="center"/>
      <protection hidden="1"/>
    </xf>
    <xf numFmtId="176" fontId="1" fillId="5" borderId="106" xfId="0" applyNumberFormat="1" applyFont="1" applyFill="1" applyBorder="1" applyAlignment="1" applyProtection="1">
      <alignment vertical="center"/>
      <protection hidden="1"/>
    </xf>
    <xf numFmtId="176" fontId="1" fillId="5" borderId="107" xfId="0" applyNumberFormat="1" applyFont="1" applyFill="1" applyBorder="1" applyAlignment="1" applyProtection="1">
      <alignment vertical="center"/>
      <protection hidden="1"/>
    </xf>
    <xf numFmtId="181" fontId="1" fillId="5" borderId="109" xfId="0" applyNumberFormat="1" applyFont="1" applyFill="1" applyBorder="1" applyAlignment="1" applyProtection="1">
      <alignment vertical="center"/>
      <protection hidden="1"/>
    </xf>
    <xf numFmtId="0" fontId="1" fillId="4" borderId="60" xfId="0" applyFont="1" applyFill="1" applyBorder="1" applyAlignment="1" applyProtection="1">
      <alignment horizontal="center" vertical="center"/>
      <protection hidden="1"/>
    </xf>
    <xf numFmtId="0" fontId="1" fillId="4" borderId="47" xfId="0" applyFont="1" applyFill="1" applyBorder="1" applyAlignment="1" applyProtection="1">
      <alignment vertical="center"/>
      <protection hidden="1"/>
    </xf>
    <xf numFmtId="176" fontId="1" fillId="4" borderId="47" xfId="0" applyNumberFormat="1" applyFont="1" applyFill="1" applyBorder="1" applyAlignment="1" applyProtection="1">
      <alignment vertical="center"/>
      <protection hidden="1"/>
    </xf>
    <xf numFmtId="180" fontId="1" fillId="4" borderId="47" xfId="0" applyNumberFormat="1" applyFont="1" applyFill="1" applyBorder="1" applyAlignment="1" applyProtection="1">
      <alignment horizontal="center" vertical="center"/>
      <protection hidden="1"/>
    </xf>
    <xf numFmtId="177" fontId="1" fillId="4" borderId="47" xfId="0" applyNumberFormat="1" applyFont="1" applyFill="1" applyBorder="1" applyAlignment="1" applyProtection="1">
      <alignment horizontal="right" vertical="center"/>
      <protection hidden="1"/>
    </xf>
    <xf numFmtId="0" fontId="1" fillId="4" borderId="47" xfId="0" applyFont="1" applyFill="1" applyBorder="1" applyAlignment="1" applyProtection="1">
      <alignment horizontal="right"/>
      <protection hidden="1"/>
    </xf>
    <xf numFmtId="0" fontId="1" fillId="4" borderId="66" xfId="0" applyFont="1" applyFill="1" applyBorder="1" applyAlignment="1" applyProtection="1">
      <alignment horizontal="right"/>
      <protection hidden="1"/>
    </xf>
    <xf numFmtId="176" fontId="1" fillId="4" borderId="66" xfId="0" applyNumberFormat="1" applyFont="1" applyFill="1" applyBorder="1" applyAlignment="1" applyProtection="1">
      <alignment horizontal="right"/>
      <protection hidden="1"/>
    </xf>
    <xf numFmtId="176" fontId="1" fillId="4" borderId="58" xfId="0" applyNumberFormat="1" applyFont="1" applyFill="1" applyBorder="1" applyAlignment="1" applyProtection="1">
      <alignment horizontal="right"/>
      <protection hidden="1"/>
    </xf>
    <xf numFmtId="180" fontId="1" fillId="4" borderId="58" xfId="0" applyNumberFormat="1" applyFont="1" applyFill="1" applyBorder="1" applyAlignment="1" applyProtection="1">
      <alignment horizontal="right"/>
      <protection hidden="1"/>
    </xf>
    <xf numFmtId="180" fontId="1" fillId="4" borderId="66" xfId="0" applyNumberFormat="1" applyFont="1" applyFill="1" applyBorder="1" applyAlignment="1" applyProtection="1">
      <alignment horizontal="right"/>
      <protection hidden="1"/>
    </xf>
    <xf numFmtId="180" fontId="1" fillId="4" borderId="68" xfId="0" applyNumberFormat="1" applyFont="1" applyFill="1" applyBorder="1" applyAlignment="1" applyProtection="1">
      <alignment horizontal="right"/>
      <protection hidden="1"/>
    </xf>
    <xf numFmtId="181" fontId="1" fillId="4" borderId="60" xfId="0" applyNumberFormat="1" applyFont="1" applyFill="1" applyBorder="1" applyAlignment="1" applyProtection="1">
      <alignment vertical="center"/>
      <protection hidden="1"/>
    </xf>
    <xf numFmtId="0" fontId="1" fillId="4" borderId="71" xfId="0" applyFont="1" applyFill="1" applyBorder="1" applyAlignment="1" applyProtection="1">
      <alignment horizontal="center" vertical="center"/>
      <protection hidden="1"/>
    </xf>
    <xf numFmtId="0" fontId="1" fillId="4" borderId="70" xfId="0" applyFont="1" applyFill="1" applyBorder="1" applyAlignment="1" applyProtection="1">
      <alignment horizontal="center" vertical="center"/>
      <protection hidden="1"/>
    </xf>
    <xf numFmtId="178" fontId="1" fillId="4" borderId="61" xfId="0" applyNumberFormat="1" applyFont="1" applyFill="1" applyBorder="1" applyAlignment="1" applyProtection="1">
      <alignment horizontal="center" vertical="center"/>
      <protection hidden="1"/>
    </xf>
    <xf numFmtId="178" fontId="1" fillId="4" borderId="61" xfId="0" applyNumberFormat="1" applyFont="1" applyFill="1" applyBorder="1" applyProtection="1">
      <protection hidden="1"/>
    </xf>
    <xf numFmtId="178" fontId="1" fillId="4" borderId="62" xfId="0" applyNumberFormat="1" applyFont="1" applyFill="1" applyBorder="1" applyProtection="1">
      <protection hidden="1"/>
    </xf>
    <xf numFmtId="181" fontId="1" fillId="4" borderId="47" xfId="0" applyNumberFormat="1" applyFont="1" applyFill="1" applyBorder="1" applyProtection="1">
      <protection hidden="1"/>
    </xf>
    <xf numFmtId="177" fontId="1" fillId="4" borderId="44" xfId="0" applyNumberFormat="1" applyFont="1" applyFill="1" applyBorder="1" applyAlignment="1" applyProtection="1">
      <alignment horizontal="right"/>
      <protection hidden="1"/>
    </xf>
    <xf numFmtId="182" fontId="1" fillId="4" borderId="58" xfId="0" applyNumberFormat="1" applyFont="1" applyFill="1" applyBorder="1" applyAlignment="1" applyProtection="1">
      <alignment horizontal="center" vertical="center"/>
      <protection hidden="1"/>
    </xf>
    <xf numFmtId="178" fontId="1" fillId="4" borderId="58" xfId="0" applyNumberFormat="1" applyFont="1" applyFill="1" applyBorder="1" applyProtection="1">
      <protection hidden="1"/>
    </xf>
    <xf numFmtId="178" fontId="1" fillId="4" borderId="64" xfId="0" applyNumberFormat="1" applyFont="1" applyFill="1" applyBorder="1" applyProtection="1">
      <protection hidden="1"/>
    </xf>
    <xf numFmtId="178" fontId="1" fillId="4" borderId="58" xfId="0" applyNumberFormat="1" applyFont="1" applyFill="1" applyBorder="1" applyAlignment="1" applyProtection="1">
      <alignment horizontal="right"/>
      <protection hidden="1"/>
    </xf>
    <xf numFmtId="0" fontId="1" fillId="4" borderId="112" xfId="0" applyFont="1" applyFill="1" applyBorder="1" applyAlignment="1" applyProtection="1">
      <alignment horizontal="center" vertical="center"/>
      <protection hidden="1"/>
    </xf>
    <xf numFmtId="178" fontId="1" fillId="4" borderId="47" xfId="0" applyNumberFormat="1" applyFont="1" applyFill="1" applyBorder="1" applyAlignment="1" applyProtection="1">
      <alignment horizontal="center" vertical="center"/>
      <protection hidden="1"/>
    </xf>
    <xf numFmtId="177" fontId="1" fillId="4" borderId="113" xfId="0" applyNumberFormat="1" applyFont="1" applyFill="1" applyBorder="1" applyAlignment="1" applyProtection="1">
      <alignment horizontal="right"/>
      <protection hidden="1"/>
    </xf>
    <xf numFmtId="182" fontId="1" fillId="4" borderId="58" xfId="0" applyNumberFormat="1" applyFont="1" applyFill="1" applyBorder="1" applyAlignment="1" applyProtection="1">
      <alignment horizontal="right" vertical="center"/>
      <protection hidden="1"/>
    </xf>
    <xf numFmtId="0" fontId="1" fillId="4" borderId="0" xfId="0" applyFont="1" applyFill="1" applyAlignment="1" applyProtection="1">
      <alignment horizontal="right" vertical="center" shrinkToFit="1"/>
      <protection hidden="1"/>
    </xf>
    <xf numFmtId="182" fontId="1" fillId="4" borderId="114" xfId="0" applyNumberFormat="1" applyFont="1" applyFill="1" applyBorder="1" applyAlignment="1" applyProtection="1">
      <alignment horizontal="center" vertical="center"/>
      <protection hidden="1"/>
    </xf>
    <xf numFmtId="178" fontId="1" fillId="0" borderId="69" xfId="0" applyNumberFormat="1" applyFont="1" applyBorder="1" applyProtection="1">
      <protection hidden="1"/>
    </xf>
    <xf numFmtId="178" fontId="1" fillId="0" borderId="5" xfId="0" applyNumberFormat="1" applyFont="1" applyBorder="1" applyProtection="1">
      <protection hidden="1"/>
    </xf>
    <xf numFmtId="181" fontId="1" fillId="5" borderId="14" xfId="0" applyNumberFormat="1" applyFont="1" applyFill="1" applyBorder="1" applyAlignment="1" applyProtection="1">
      <alignment horizontal="center" vertical="center"/>
      <protection hidden="1"/>
    </xf>
    <xf numFmtId="178" fontId="1" fillId="0" borderId="5" xfId="0" applyNumberFormat="1" applyFont="1" applyBorder="1" applyAlignment="1" applyProtection="1">
      <alignment vertical="center"/>
      <protection hidden="1"/>
    </xf>
    <xf numFmtId="178" fontId="1" fillId="0" borderId="5" xfId="0" applyNumberFormat="1" applyFont="1" applyBorder="1"/>
    <xf numFmtId="0" fontId="3" fillId="0" borderId="0" xfId="0" applyFont="1" applyAlignment="1">
      <alignment vertical="center"/>
    </xf>
    <xf numFmtId="0" fontId="1" fillId="0" borderId="69" xfId="0" applyFont="1" applyBorder="1" applyAlignment="1">
      <alignment horizontal="center" vertical="center" textRotation="255"/>
    </xf>
    <xf numFmtId="0" fontId="1" fillId="0" borderId="69" xfId="0" applyFont="1" applyBorder="1" applyAlignment="1" applyProtection="1">
      <alignment horizontal="right" vertical="center"/>
      <protection hidden="1"/>
    </xf>
    <xf numFmtId="49" fontId="1" fillId="0" borderId="69" xfId="0" applyNumberFormat="1" applyFont="1" applyBorder="1" applyAlignment="1" applyProtection="1">
      <alignment horizontal="center" vertical="center"/>
      <protection locked="0"/>
    </xf>
    <xf numFmtId="176" fontId="1" fillId="0" borderId="69" xfId="0" applyNumberFormat="1" applyFont="1" applyBorder="1" applyAlignment="1" applyProtection="1">
      <alignment horizontal="right" vertical="center"/>
      <protection locked="0"/>
    </xf>
    <xf numFmtId="176" fontId="6" fillId="0" borderId="69" xfId="0" applyNumberFormat="1" applyFont="1" applyBorder="1" applyAlignment="1" applyProtection="1">
      <alignment horizontal="right" vertical="center"/>
      <protection locked="0"/>
    </xf>
    <xf numFmtId="0" fontId="1" fillId="0" borderId="5" xfId="0" applyFont="1" applyBorder="1" applyAlignment="1" applyProtection="1">
      <alignment vertical="center" wrapText="1"/>
      <protection hidden="1"/>
    </xf>
    <xf numFmtId="0" fontId="4" fillId="0" borderId="5" xfId="0" applyFont="1" applyBorder="1" applyAlignment="1" applyProtection="1">
      <alignment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wrapText="1"/>
      <protection hidden="1"/>
    </xf>
    <xf numFmtId="179" fontId="1" fillId="0" borderId="47" xfId="0" applyNumberFormat="1" applyFont="1" applyBorder="1" applyAlignment="1">
      <alignment horizontal="center" vertical="center"/>
    </xf>
    <xf numFmtId="0" fontId="1" fillId="0" borderId="47" xfId="0" applyFont="1" applyBorder="1" applyAlignment="1" applyProtection="1">
      <alignment horizontal="right" vertical="center"/>
      <protection hidden="1"/>
    </xf>
    <xf numFmtId="181" fontId="1" fillId="0" borderId="47" xfId="0" applyNumberFormat="1" applyFont="1" applyBorder="1" applyAlignment="1">
      <alignment horizontal="center" vertical="center"/>
    </xf>
    <xf numFmtId="176" fontId="1" fillId="0" borderId="47" xfId="0" applyNumberFormat="1" applyFont="1" applyBorder="1" applyAlignment="1">
      <alignment horizontal="center" vertical="center"/>
    </xf>
    <xf numFmtId="176" fontId="1" fillId="0" borderId="47" xfId="0" applyNumberFormat="1" applyFont="1" applyBorder="1" applyAlignment="1" applyProtection="1">
      <alignment horizontal="right" vertical="center"/>
      <protection hidden="1"/>
    </xf>
    <xf numFmtId="0" fontId="1" fillId="0" borderId="47" xfId="0" applyFont="1" applyBorder="1"/>
    <xf numFmtId="0" fontId="1" fillId="0" borderId="47" xfId="0" applyFont="1" applyBorder="1" applyAlignment="1">
      <alignment horizontal="right" vertical="center"/>
    </xf>
    <xf numFmtId="176" fontId="1" fillId="0" borderId="47" xfId="0" applyNumberFormat="1" applyFont="1" applyBorder="1" applyAlignment="1" applyProtection="1">
      <alignment horizontal="center" vertical="center"/>
      <protection hidden="1"/>
    </xf>
    <xf numFmtId="0" fontId="1" fillId="5" borderId="83" xfId="0" applyFont="1" applyFill="1" applyBorder="1" applyAlignment="1" applyProtection="1">
      <alignment horizontal="center" vertical="center"/>
      <protection hidden="1"/>
    </xf>
    <xf numFmtId="0" fontId="1" fillId="5" borderId="116" xfId="0" applyFont="1" applyFill="1" applyBorder="1" applyAlignment="1" applyProtection="1">
      <alignment horizontal="center" vertical="center"/>
      <protection hidden="1"/>
    </xf>
    <xf numFmtId="176" fontId="1" fillId="5" borderId="119" xfId="0" applyNumberFormat="1" applyFont="1" applyFill="1" applyBorder="1" applyAlignment="1" applyProtection="1">
      <alignment vertical="center"/>
      <protection hidden="1"/>
    </xf>
    <xf numFmtId="176" fontId="1" fillId="5" borderId="120" xfId="0" applyNumberFormat="1" applyFont="1" applyFill="1" applyBorder="1" applyAlignment="1" applyProtection="1">
      <alignment vertical="center"/>
      <protection hidden="1"/>
    </xf>
    <xf numFmtId="176" fontId="1" fillId="5" borderId="121" xfId="0" applyNumberFormat="1" applyFont="1" applyFill="1" applyBorder="1" applyAlignment="1" applyProtection="1">
      <alignment horizontal="right" vertical="center"/>
      <protection hidden="1"/>
    </xf>
    <xf numFmtId="176" fontId="1" fillId="5" borderId="122" xfId="0" applyNumberFormat="1" applyFont="1" applyFill="1" applyBorder="1" applyAlignment="1" applyProtection="1">
      <alignment vertical="center"/>
      <protection hidden="1"/>
    </xf>
    <xf numFmtId="0" fontId="10" fillId="5" borderId="72" xfId="0" applyFont="1" applyFill="1" applyBorder="1" applyAlignment="1" applyProtection="1">
      <alignment horizontal="center" vertical="center"/>
      <protection hidden="1"/>
    </xf>
    <xf numFmtId="0" fontId="10" fillId="5" borderId="73" xfId="0" applyFont="1" applyFill="1" applyBorder="1" applyProtection="1">
      <protection hidden="1"/>
    </xf>
    <xf numFmtId="0" fontId="10" fillId="5" borderId="77" xfId="0" applyFont="1" applyFill="1" applyBorder="1" applyAlignment="1" applyProtection="1">
      <alignment vertical="center" textRotation="255"/>
      <protection hidden="1"/>
    </xf>
    <xf numFmtId="0" fontId="10" fillId="5" borderId="78" xfId="0" applyFont="1" applyFill="1" applyBorder="1" applyAlignment="1" applyProtection="1">
      <alignment horizontal="center" vertical="center" wrapText="1"/>
      <protection hidden="1"/>
    </xf>
    <xf numFmtId="0" fontId="10" fillId="5" borderId="79" xfId="0" applyFont="1" applyFill="1" applyBorder="1" applyAlignment="1" applyProtection="1">
      <alignment horizontal="center" vertical="center"/>
      <protection hidden="1"/>
    </xf>
    <xf numFmtId="0" fontId="10" fillId="5" borderId="80" xfId="0" applyFont="1" applyFill="1" applyBorder="1" applyAlignment="1" applyProtection="1">
      <alignment horizontal="center" vertical="center"/>
      <protection hidden="1"/>
    </xf>
    <xf numFmtId="0" fontId="10" fillId="5" borderId="81" xfId="0" applyFont="1" applyFill="1" applyBorder="1" applyAlignment="1" applyProtection="1">
      <alignment horizontal="center" vertical="center"/>
      <protection hidden="1"/>
    </xf>
    <xf numFmtId="0" fontId="10" fillId="5" borderId="82" xfId="0" applyFont="1" applyFill="1" applyBorder="1" applyAlignment="1" applyProtection="1">
      <alignment horizontal="center" vertical="center"/>
      <protection hidden="1"/>
    </xf>
    <xf numFmtId="178" fontId="10" fillId="5" borderId="81" xfId="0" applyNumberFormat="1" applyFont="1" applyFill="1" applyBorder="1" applyAlignment="1" applyProtection="1">
      <alignment horizontal="center" vertical="center"/>
      <protection hidden="1"/>
    </xf>
    <xf numFmtId="178" fontId="10" fillId="5" borderId="82" xfId="0" applyNumberFormat="1" applyFont="1" applyFill="1" applyBorder="1" applyAlignment="1" applyProtection="1">
      <alignment horizontal="center" vertical="center"/>
      <protection hidden="1"/>
    </xf>
    <xf numFmtId="0" fontId="10" fillId="5" borderId="21" xfId="0" applyFont="1" applyFill="1" applyBorder="1" applyAlignment="1" applyProtection="1">
      <alignment vertical="center" textRotation="255"/>
      <protection hidden="1"/>
    </xf>
    <xf numFmtId="0" fontId="10" fillId="5" borderId="83" xfId="0" applyFont="1" applyFill="1" applyBorder="1" applyAlignment="1" applyProtection="1">
      <alignment horizontal="center" vertical="center"/>
      <protection hidden="1"/>
    </xf>
    <xf numFmtId="176" fontId="10" fillId="5" borderId="84" xfId="0" applyNumberFormat="1" applyFont="1" applyFill="1" applyBorder="1" applyAlignment="1" applyProtection="1">
      <alignment vertical="center"/>
      <protection hidden="1"/>
    </xf>
    <xf numFmtId="176" fontId="10" fillId="5" borderId="86" xfId="0" applyNumberFormat="1" applyFont="1" applyFill="1" applyBorder="1" applyAlignment="1" applyProtection="1">
      <alignment vertical="center"/>
      <protection hidden="1"/>
    </xf>
    <xf numFmtId="176" fontId="10" fillId="5" borderId="84" xfId="0" applyNumberFormat="1" applyFont="1" applyFill="1" applyBorder="1" applyAlignment="1" applyProtection="1">
      <alignment horizontal="right" vertical="center"/>
      <protection hidden="1"/>
    </xf>
    <xf numFmtId="176" fontId="10" fillId="5" borderId="86" xfId="0" applyNumberFormat="1" applyFont="1" applyFill="1" applyBorder="1" applyAlignment="1" applyProtection="1">
      <alignment horizontal="right" vertical="center"/>
      <protection hidden="1"/>
    </xf>
    <xf numFmtId="0" fontId="10" fillId="5" borderId="24" xfId="0" applyFont="1" applyFill="1" applyBorder="1" applyAlignment="1" applyProtection="1">
      <alignment vertical="center" textRotation="255"/>
      <protection hidden="1"/>
    </xf>
    <xf numFmtId="176" fontId="10" fillId="5" borderId="88" xfId="0" applyNumberFormat="1" applyFont="1" applyFill="1" applyBorder="1" applyAlignment="1" applyProtection="1">
      <alignment vertical="center"/>
      <protection hidden="1"/>
    </xf>
    <xf numFmtId="176" fontId="10" fillId="5" borderId="89" xfId="0" applyNumberFormat="1" applyFont="1" applyFill="1" applyBorder="1" applyAlignment="1" applyProtection="1">
      <alignment vertical="center"/>
      <protection hidden="1"/>
    </xf>
    <xf numFmtId="176" fontId="10" fillId="5" borderId="88" xfId="0" applyNumberFormat="1" applyFont="1" applyFill="1" applyBorder="1" applyAlignment="1" applyProtection="1">
      <alignment horizontal="right" vertical="center"/>
      <protection hidden="1"/>
    </xf>
    <xf numFmtId="176" fontId="10" fillId="5" borderId="89" xfId="0" applyNumberFormat="1" applyFont="1" applyFill="1" applyBorder="1" applyAlignment="1" applyProtection="1">
      <alignment horizontal="right" vertical="center"/>
      <protection hidden="1"/>
    </xf>
    <xf numFmtId="0" fontId="10" fillId="5" borderId="25" xfId="0" applyFont="1" applyFill="1" applyBorder="1" applyAlignment="1" applyProtection="1">
      <alignment vertical="center" textRotation="255"/>
      <protection hidden="1"/>
    </xf>
    <xf numFmtId="176" fontId="10" fillId="5" borderId="91" xfId="0" applyNumberFormat="1" applyFont="1" applyFill="1" applyBorder="1" applyAlignment="1" applyProtection="1">
      <alignment vertical="center"/>
      <protection hidden="1"/>
    </xf>
    <xf numFmtId="176" fontId="10" fillId="5" borderId="92" xfId="0" applyNumberFormat="1" applyFont="1" applyFill="1" applyBorder="1" applyAlignment="1" applyProtection="1">
      <alignment vertical="center"/>
      <protection hidden="1"/>
    </xf>
    <xf numFmtId="176" fontId="10" fillId="5" borderId="91" xfId="0" applyNumberFormat="1" applyFont="1" applyFill="1" applyBorder="1" applyAlignment="1" applyProtection="1">
      <alignment horizontal="right" vertical="center"/>
      <protection hidden="1"/>
    </xf>
    <xf numFmtId="176" fontId="10" fillId="5" borderId="92" xfId="0" applyNumberFormat="1" applyFont="1" applyFill="1" applyBorder="1" applyAlignment="1" applyProtection="1">
      <alignment horizontal="right" vertical="center"/>
      <protection hidden="1"/>
    </xf>
    <xf numFmtId="0" fontId="10" fillId="5" borderId="35" xfId="0" applyFont="1" applyFill="1" applyBorder="1" applyAlignment="1" applyProtection="1">
      <alignment vertical="center" textRotation="255"/>
      <protection hidden="1"/>
    </xf>
    <xf numFmtId="0" fontId="10" fillId="5" borderId="22" xfId="0" applyFont="1" applyFill="1" applyBorder="1" applyAlignment="1" applyProtection="1">
      <alignment horizontal="center" vertical="center" wrapText="1"/>
      <protection hidden="1"/>
    </xf>
    <xf numFmtId="0" fontId="10" fillId="5" borderId="96" xfId="0" applyFont="1" applyFill="1" applyBorder="1" applyAlignment="1" applyProtection="1">
      <alignment horizontal="center" vertical="center"/>
      <protection hidden="1"/>
    </xf>
    <xf numFmtId="0" fontId="10" fillId="5" borderId="97" xfId="0" applyFont="1" applyFill="1" applyBorder="1" applyAlignment="1" applyProtection="1">
      <alignment horizontal="center" vertical="center"/>
      <protection hidden="1"/>
    </xf>
    <xf numFmtId="0" fontId="10" fillId="5" borderId="98" xfId="0" applyFont="1" applyFill="1" applyBorder="1" applyAlignment="1" applyProtection="1">
      <alignment horizontal="center" vertical="center"/>
      <protection hidden="1"/>
    </xf>
    <xf numFmtId="0" fontId="10" fillId="5" borderId="99" xfId="0" applyFont="1" applyFill="1" applyBorder="1" applyAlignment="1" applyProtection="1">
      <alignment horizontal="center" vertical="center"/>
      <protection hidden="1"/>
    </xf>
    <xf numFmtId="0" fontId="10" fillId="5" borderId="100" xfId="0" applyFont="1" applyFill="1" applyBorder="1" applyAlignment="1" applyProtection="1">
      <alignment horizontal="center" vertical="center"/>
      <protection hidden="1"/>
    </xf>
    <xf numFmtId="0" fontId="10" fillId="5" borderId="19" xfId="0" applyFont="1" applyFill="1" applyBorder="1" applyAlignment="1" applyProtection="1">
      <alignment horizontal="center" vertical="center"/>
      <protection hidden="1"/>
    </xf>
    <xf numFmtId="178" fontId="10" fillId="5" borderId="100" xfId="0" applyNumberFormat="1" applyFont="1" applyFill="1" applyBorder="1" applyAlignment="1" applyProtection="1">
      <alignment horizontal="center" vertical="center"/>
      <protection hidden="1"/>
    </xf>
    <xf numFmtId="178" fontId="10" fillId="5" borderId="101" xfId="0" applyNumberFormat="1" applyFont="1" applyFill="1" applyBorder="1" applyAlignment="1" applyProtection="1">
      <alignment horizontal="center" vertical="center"/>
      <protection hidden="1"/>
    </xf>
    <xf numFmtId="181" fontId="10" fillId="5" borderId="36" xfId="0" applyNumberFormat="1" applyFont="1" applyFill="1" applyBorder="1" applyAlignment="1" applyProtection="1">
      <alignment horizontal="center" vertical="center"/>
      <protection hidden="1"/>
    </xf>
    <xf numFmtId="0" fontId="10" fillId="5" borderId="102" xfId="0" applyFont="1" applyFill="1" applyBorder="1" applyAlignment="1" applyProtection="1">
      <alignment vertical="center" textRotation="255"/>
      <protection hidden="1"/>
    </xf>
    <xf numFmtId="176" fontId="10" fillId="5" borderId="103" xfId="0" applyNumberFormat="1" applyFont="1" applyFill="1" applyBorder="1" applyAlignment="1" applyProtection="1">
      <alignment horizontal="right" vertical="center"/>
      <protection hidden="1"/>
    </xf>
    <xf numFmtId="176" fontId="10" fillId="5" borderId="63" xfId="0" applyNumberFormat="1" applyFont="1" applyFill="1" applyBorder="1" applyAlignment="1" applyProtection="1">
      <alignment vertical="center"/>
      <protection hidden="1"/>
    </xf>
    <xf numFmtId="176" fontId="10" fillId="5" borderId="85" xfId="0" applyNumberFormat="1" applyFont="1" applyFill="1" applyBorder="1" applyAlignment="1" applyProtection="1">
      <alignment vertical="center"/>
      <protection hidden="1"/>
    </xf>
    <xf numFmtId="176" fontId="10" fillId="5" borderId="54" xfId="0" applyNumberFormat="1" applyFont="1" applyFill="1" applyBorder="1" applyAlignment="1" applyProtection="1">
      <alignment vertical="center"/>
      <protection hidden="1"/>
    </xf>
    <xf numFmtId="0" fontId="10" fillId="5" borderId="24" xfId="0" applyFont="1" applyFill="1" applyBorder="1" applyAlignment="1" applyProtection="1">
      <alignment horizontal="center" vertical="center"/>
      <protection hidden="1"/>
    </xf>
    <xf numFmtId="0" fontId="10" fillId="5" borderId="24"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104" xfId="0" applyFont="1" applyFill="1" applyBorder="1" applyAlignment="1">
      <alignment horizontal="center" vertical="center"/>
    </xf>
    <xf numFmtId="0" fontId="10" fillId="5" borderId="105" xfId="0" applyFont="1" applyFill="1" applyBorder="1" applyAlignment="1">
      <alignment horizontal="center" vertical="center"/>
    </xf>
    <xf numFmtId="0" fontId="10" fillId="5" borderId="116" xfId="0" applyFont="1" applyFill="1" applyBorder="1" applyAlignment="1" applyProtection="1">
      <alignment horizontal="center" vertical="center"/>
      <protection hidden="1"/>
    </xf>
    <xf numFmtId="0" fontId="10" fillId="0" borderId="0" xfId="0" applyFont="1"/>
    <xf numFmtId="181" fontId="10" fillId="0" borderId="0" xfId="0" applyNumberFormat="1" applyFont="1" applyAlignment="1">
      <alignment horizontal="center" vertical="center"/>
    </xf>
    <xf numFmtId="179" fontId="10" fillId="0" borderId="0" xfId="0" applyNumberFormat="1" applyFont="1" applyAlignment="1">
      <alignment horizontal="center" vertical="center"/>
    </xf>
    <xf numFmtId="176" fontId="10" fillId="5" borderId="93" xfId="0" applyNumberFormat="1" applyFont="1" applyFill="1" applyBorder="1" applyAlignment="1" applyProtection="1">
      <alignment vertical="center"/>
      <protection hidden="1"/>
    </xf>
    <xf numFmtId="176" fontId="10" fillId="5" borderId="94" xfId="0" applyNumberFormat="1" applyFont="1" applyFill="1" applyBorder="1" applyAlignment="1" applyProtection="1">
      <alignment vertical="center"/>
      <protection hidden="1"/>
    </xf>
    <xf numFmtId="176" fontId="10" fillId="5" borderId="120" xfId="0" applyNumberFormat="1" applyFont="1" applyFill="1" applyBorder="1" applyAlignment="1" applyProtection="1">
      <alignment vertical="center"/>
      <protection hidden="1"/>
    </xf>
    <xf numFmtId="176" fontId="10" fillId="5" borderId="123" xfId="0" applyNumberFormat="1" applyFont="1" applyFill="1" applyBorder="1" applyAlignment="1" applyProtection="1">
      <alignment vertical="center"/>
      <protection hidden="1"/>
    </xf>
    <xf numFmtId="0" fontId="10" fillId="5" borderId="124" xfId="0" applyFont="1" applyFill="1" applyBorder="1" applyAlignment="1" applyProtection="1">
      <alignment horizontal="center" vertical="center"/>
      <protection hidden="1"/>
    </xf>
    <xf numFmtId="178" fontId="11" fillId="0" borderId="0" xfId="0" applyNumberFormat="1" applyFont="1" applyAlignment="1" applyProtection="1">
      <alignment horizontal="center" vertical="center"/>
      <protection hidden="1"/>
    </xf>
    <xf numFmtId="183" fontId="10" fillId="0" borderId="0" xfId="0" applyNumberFormat="1" applyFont="1" applyAlignment="1" applyProtection="1">
      <alignment horizontal="center"/>
      <protection hidden="1"/>
    </xf>
    <xf numFmtId="181" fontId="11" fillId="5" borderId="36" xfId="0" applyNumberFormat="1" applyFont="1" applyFill="1" applyBorder="1" applyAlignment="1" applyProtection="1">
      <alignment horizontal="center" vertical="center"/>
      <protection hidden="1"/>
    </xf>
    <xf numFmtId="178" fontId="11" fillId="0" borderId="5" xfId="0" applyNumberFormat="1" applyFont="1" applyBorder="1" applyAlignment="1" applyProtection="1">
      <alignment horizontal="center" vertical="center"/>
      <protection hidden="1"/>
    </xf>
    <xf numFmtId="181" fontId="10" fillId="0" borderId="5" xfId="0" applyNumberFormat="1" applyFont="1" applyBorder="1" applyAlignment="1" applyProtection="1">
      <alignment vertical="center"/>
      <protection hidden="1"/>
    </xf>
    <xf numFmtId="181" fontId="10" fillId="0" borderId="5" xfId="0" applyNumberFormat="1" applyFont="1" applyBorder="1" applyAlignment="1" applyProtection="1">
      <alignment horizontal="center" vertical="center"/>
      <protection hidden="1"/>
    </xf>
    <xf numFmtId="181" fontId="10" fillId="0" borderId="0" xfId="0" applyNumberFormat="1" applyFont="1" applyAlignment="1" applyProtection="1">
      <alignment vertical="center"/>
      <protection hidden="1"/>
    </xf>
    <xf numFmtId="181" fontId="10" fillId="0" borderId="0" xfId="0" applyNumberFormat="1" applyFont="1" applyAlignment="1" applyProtection="1">
      <alignment horizontal="center" vertical="center"/>
      <protection hidden="1"/>
    </xf>
    <xf numFmtId="179" fontId="10" fillId="0" borderId="69" xfId="0" applyNumberFormat="1" applyFont="1" applyBorder="1" applyAlignment="1">
      <alignment horizontal="center" vertical="center"/>
    </xf>
    <xf numFmtId="176" fontId="10" fillId="5" borderId="87" xfId="0" applyNumberFormat="1" applyFont="1" applyFill="1" applyBorder="1" applyAlignment="1" applyProtection="1">
      <alignment vertical="center"/>
      <protection hidden="1"/>
    </xf>
    <xf numFmtId="176" fontId="10" fillId="5" borderId="90" xfId="0" applyNumberFormat="1" applyFont="1" applyFill="1" applyBorder="1" applyAlignment="1" applyProtection="1">
      <alignment vertical="center"/>
      <protection hidden="1"/>
    </xf>
    <xf numFmtId="176" fontId="10" fillId="5" borderId="95" xfId="0" applyNumberFormat="1" applyFont="1" applyFill="1" applyBorder="1" applyAlignment="1" applyProtection="1">
      <alignment vertical="center"/>
      <protection hidden="1"/>
    </xf>
    <xf numFmtId="0" fontId="0" fillId="0" borderId="0" xfId="0" applyAlignment="1">
      <alignment horizontal="center" vertical="center"/>
    </xf>
    <xf numFmtId="0" fontId="12" fillId="0" borderId="69"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181"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2" fillId="0" borderId="69" xfId="0" applyFont="1" applyBorder="1" applyAlignment="1">
      <alignment horizontal="center" vertical="center"/>
    </xf>
    <xf numFmtId="181" fontId="12" fillId="0" borderId="69" xfId="0" applyNumberFormat="1" applyFont="1" applyBorder="1" applyAlignment="1">
      <alignment horizontal="center" vertical="center"/>
    </xf>
    <xf numFmtId="0" fontId="12" fillId="0" borderId="0" xfId="0" applyFont="1" applyAlignment="1">
      <alignment horizontal="center" vertical="center"/>
    </xf>
    <xf numFmtId="176" fontId="12" fillId="0" borderId="0" xfId="0" applyNumberFormat="1" applyFont="1" applyAlignment="1" applyProtection="1">
      <alignment horizontal="center" vertical="center"/>
      <protection hidden="1"/>
    </xf>
    <xf numFmtId="181" fontId="12" fillId="0" borderId="0" xfId="0" applyNumberFormat="1" applyFont="1" applyAlignment="1" applyProtection="1">
      <alignment horizontal="center" vertical="center"/>
      <protection hidden="1"/>
    </xf>
    <xf numFmtId="0" fontId="1" fillId="2" borderId="36" xfId="0" applyFont="1" applyFill="1" applyBorder="1" applyAlignment="1" applyProtection="1">
      <alignment horizontal="center" vertical="center" wrapText="1"/>
      <protection hidden="1"/>
    </xf>
    <xf numFmtId="176" fontId="1" fillId="3" borderId="36" xfId="0" applyNumberFormat="1" applyFont="1" applyFill="1" applyBorder="1" applyAlignment="1" applyProtection="1">
      <alignment horizontal="right" vertical="center"/>
      <protection locked="0"/>
    </xf>
    <xf numFmtId="0" fontId="1" fillId="2" borderId="22" xfId="0" applyFont="1" applyFill="1" applyBorder="1" applyAlignment="1" applyProtection="1">
      <alignment horizontal="center" vertical="center" wrapText="1"/>
      <protection hidden="1"/>
    </xf>
    <xf numFmtId="176" fontId="1" fillId="3" borderId="39" xfId="0" applyNumberFormat="1" applyFont="1" applyFill="1" applyBorder="1" applyAlignment="1" applyProtection="1">
      <alignment horizontal="right" vertical="center"/>
      <protection locked="0"/>
    </xf>
    <xf numFmtId="176" fontId="6" fillId="3" borderId="39" xfId="0" applyNumberFormat="1" applyFont="1" applyFill="1" applyBorder="1" applyAlignment="1" applyProtection="1">
      <alignment horizontal="right" vertical="center"/>
      <protection locked="0"/>
    </xf>
    <xf numFmtId="176" fontId="6" fillId="3" borderId="118" xfId="0" applyNumberFormat="1" applyFont="1" applyFill="1" applyBorder="1" applyAlignment="1" applyProtection="1">
      <alignment horizontal="right" vertical="center"/>
      <protection locked="0"/>
    </xf>
    <xf numFmtId="0" fontId="1" fillId="2" borderId="22" xfId="0" applyFont="1" applyFill="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0" fillId="0" borderId="35" xfId="0" applyBorder="1" applyAlignment="1" applyProtection="1">
      <alignment horizontal="center" vertical="center"/>
      <protection locked="0"/>
    </xf>
    <xf numFmtId="0" fontId="0" fillId="0" borderId="0" xfId="0" applyAlignment="1">
      <alignment horizontal="center"/>
    </xf>
    <xf numFmtId="0" fontId="1" fillId="3" borderId="0" xfId="0" applyFont="1" applyFill="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176" fontId="1" fillId="3" borderId="31" xfId="0" applyNumberFormat="1" applyFont="1" applyFill="1" applyBorder="1" applyAlignment="1" applyProtection="1">
      <alignment horizontal="right" vertical="center"/>
      <protection locked="0"/>
    </xf>
    <xf numFmtId="176" fontId="1" fillId="5" borderId="125" xfId="0" applyNumberFormat="1" applyFont="1" applyFill="1" applyBorder="1" applyAlignment="1" applyProtection="1">
      <alignment horizontal="right" vertical="center"/>
      <protection hidden="1"/>
    </xf>
    <xf numFmtId="176" fontId="1" fillId="5" borderId="128" xfId="0" applyNumberFormat="1" applyFont="1" applyFill="1" applyBorder="1" applyAlignment="1" applyProtection="1">
      <alignment vertical="center"/>
      <protection hidden="1"/>
    </xf>
    <xf numFmtId="0" fontId="10" fillId="0" borderId="0" xfId="0" applyFont="1" applyProtection="1">
      <protection hidden="1"/>
    </xf>
    <xf numFmtId="0" fontId="10" fillId="3" borderId="35" xfId="0" applyFont="1" applyFill="1" applyBorder="1" applyAlignment="1" applyProtection="1">
      <alignment horizontal="center" vertical="center"/>
      <protection locked="0"/>
    </xf>
    <xf numFmtId="0" fontId="10" fillId="3" borderId="117" xfId="0" applyFont="1" applyFill="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1" fillId="0" borderId="0" xfId="0" applyFont="1" applyAlignment="1" applyProtection="1">
      <alignment horizontal="center" vertical="center"/>
      <protection locked="0"/>
    </xf>
    <xf numFmtId="176" fontId="0" fillId="0" borderId="0" xfId="0" applyNumberFormat="1"/>
    <xf numFmtId="0" fontId="12" fillId="2" borderId="127"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2" fillId="0" borderId="1" xfId="0" applyFont="1" applyBorder="1" applyAlignment="1" applyProtection="1">
      <alignment horizontal="right" wrapText="1"/>
      <protection hidden="1"/>
    </xf>
    <xf numFmtId="0" fontId="12" fillId="0" borderId="1" xfId="0" applyFont="1" applyBorder="1" applyAlignment="1" applyProtection="1">
      <alignment horizontal="right"/>
      <protection hidden="1"/>
    </xf>
    <xf numFmtId="0" fontId="1" fillId="2" borderId="78"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wrapText="1"/>
      <protection hidden="1"/>
    </xf>
    <xf numFmtId="0" fontId="1" fillId="2" borderId="31" xfId="0" applyFont="1" applyFill="1" applyBorder="1" applyAlignment="1" applyProtection="1">
      <alignment horizontal="center" vertical="center"/>
      <protection hidden="1"/>
    </xf>
    <xf numFmtId="0" fontId="0" fillId="0" borderId="10" xfId="0" applyBorder="1" applyAlignment="1">
      <alignment horizontal="center" vertical="center" textRotation="255"/>
    </xf>
    <xf numFmtId="0" fontId="0" fillId="0" borderId="30" xfId="0" applyBorder="1" applyAlignment="1">
      <alignment horizontal="center" vertical="center" textRotation="255"/>
    </xf>
    <xf numFmtId="0" fontId="0" fillId="0" borderId="0" xfId="0" applyAlignment="1">
      <alignment horizontal="left" vertical="center" wrapText="1"/>
    </xf>
    <xf numFmtId="0" fontId="0" fillId="0" borderId="0" xfId="0" applyAlignment="1">
      <alignment horizontal="left" vertical="center"/>
    </xf>
    <xf numFmtId="0" fontId="0" fillId="0" borderId="17" xfId="0" applyBorder="1" applyAlignment="1">
      <alignment horizontal="center" vertical="center" textRotation="255"/>
    </xf>
    <xf numFmtId="0" fontId="0" fillId="0" borderId="31" xfId="0" applyBorder="1" applyAlignment="1">
      <alignment horizontal="center" vertical="center" textRotation="255"/>
    </xf>
    <xf numFmtId="0" fontId="1" fillId="2" borderId="31" xfId="0" applyFont="1" applyFill="1" applyBorder="1" applyAlignment="1" applyProtection="1">
      <alignment horizontal="center" vertical="center" wrapText="1"/>
      <protection hidden="1"/>
    </xf>
    <xf numFmtId="0" fontId="0" fillId="0" borderId="0" xfId="0" applyAlignment="1">
      <alignment horizontal="center" vertical="center"/>
    </xf>
    <xf numFmtId="0" fontId="0" fillId="0" borderId="0" xfId="0" applyAlignment="1">
      <alignment horizontal="center"/>
    </xf>
    <xf numFmtId="0" fontId="1" fillId="2" borderId="78" xfId="0" applyFont="1" applyFill="1" applyBorder="1" applyAlignment="1" applyProtection="1">
      <alignment horizontal="center" vertical="center" wrapText="1"/>
      <protection hidden="1"/>
    </xf>
    <xf numFmtId="0" fontId="1" fillId="2" borderId="126" xfId="0" applyFont="1" applyFill="1" applyBorder="1" applyAlignment="1" applyProtection="1">
      <alignment horizontal="center" vertical="center" wrapText="1"/>
      <protection hidden="1"/>
    </xf>
    <xf numFmtId="0" fontId="1" fillId="0" borderId="1" xfId="0" applyFont="1" applyBorder="1" applyAlignment="1" applyProtection="1">
      <alignment horizontal="right"/>
      <protection hidden="1"/>
    </xf>
    <xf numFmtId="0" fontId="1" fillId="0" borderId="0" xfId="0" applyFont="1" applyAlignment="1">
      <alignment horizontal="center"/>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7"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1" fillId="0" borderId="0" xfId="0" applyFont="1" applyAlignment="1">
      <alignment horizontal="center" vertical="center"/>
    </xf>
    <xf numFmtId="0" fontId="1" fillId="0" borderId="33"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2" borderId="5"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0" borderId="20" xfId="0" applyFont="1" applyBorder="1" applyAlignment="1">
      <alignment horizontal="center" vertical="center" textRotation="255"/>
    </xf>
    <xf numFmtId="0" fontId="1" fillId="0" borderId="6"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27"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29" xfId="0" applyFont="1" applyBorder="1" applyAlignment="1" applyProtection="1">
      <alignment horizontal="center" vertical="center" wrapText="1"/>
      <protection hidden="1"/>
    </xf>
    <xf numFmtId="0" fontId="1" fillId="0" borderId="30"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176" fontId="6" fillId="0" borderId="8" xfId="0" applyNumberFormat="1" applyFont="1" applyBorder="1" applyAlignment="1" applyProtection="1">
      <alignment horizontal="center" vertical="center" wrapText="1"/>
      <protection hidden="1"/>
    </xf>
    <xf numFmtId="176" fontId="6" fillId="0" borderId="7" xfId="0" applyNumberFormat="1" applyFont="1" applyBorder="1" applyAlignment="1" applyProtection="1">
      <alignment horizontal="center" vertical="center" wrapText="1"/>
      <protection hidden="1"/>
    </xf>
    <xf numFmtId="176" fontId="6" fillId="0" borderId="11" xfId="0" applyNumberFormat="1" applyFont="1" applyBorder="1" applyAlignment="1" applyProtection="1">
      <alignment horizontal="center" vertical="center" wrapText="1"/>
      <protection hidden="1"/>
    </xf>
    <xf numFmtId="176" fontId="6" fillId="0" borderId="0" xfId="0" applyNumberFormat="1" applyFont="1" applyAlignment="1" applyProtection="1">
      <alignment horizontal="center" vertical="center" wrapText="1"/>
      <protection hidden="1"/>
    </xf>
    <xf numFmtId="176" fontId="6" fillId="0" borderId="32" xfId="0" applyNumberFormat="1" applyFont="1" applyBorder="1" applyAlignment="1" applyProtection="1">
      <alignment horizontal="center" vertical="center" wrapText="1"/>
      <protection hidden="1"/>
    </xf>
    <xf numFmtId="176" fontId="6" fillId="0" borderId="29" xfId="0" applyNumberFormat="1" applyFont="1" applyBorder="1" applyAlignment="1" applyProtection="1">
      <alignment horizontal="center" vertical="center" wrapText="1"/>
      <protection hidden="1"/>
    </xf>
    <xf numFmtId="0" fontId="1" fillId="5" borderId="74" xfId="0" applyFont="1" applyFill="1" applyBorder="1" applyAlignment="1" applyProtection="1">
      <alignment horizontal="center" vertical="center"/>
      <protection hidden="1"/>
    </xf>
    <xf numFmtId="0" fontId="1" fillId="5" borderId="75" xfId="0" applyFont="1" applyFill="1" applyBorder="1" applyAlignment="1" applyProtection="1">
      <alignment horizontal="center" vertical="center"/>
      <protection hidden="1"/>
    </xf>
    <xf numFmtId="178" fontId="1" fillId="5" borderId="76" xfId="0" applyNumberFormat="1" applyFont="1" applyFill="1" applyBorder="1" applyAlignment="1" applyProtection="1">
      <alignment horizontal="center" vertical="center"/>
      <protection hidden="1"/>
    </xf>
    <xf numFmtId="178" fontId="1" fillId="5" borderId="37" xfId="0" applyNumberFormat="1" applyFont="1" applyFill="1" applyBorder="1" applyAlignment="1" applyProtection="1">
      <alignment horizontal="center" vertical="center"/>
      <protection hidden="1"/>
    </xf>
    <xf numFmtId="0" fontId="5" fillId="4" borderId="41" xfId="0" applyFont="1" applyFill="1" applyBorder="1" applyAlignment="1" applyProtection="1">
      <alignment horizontal="center" vertical="center"/>
      <protection hidden="1"/>
    </xf>
    <xf numFmtId="0" fontId="1" fillId="4" borderId="40" xfId="0" applyFont="1" applyFill="1" applyBorder="1" applyAlignment="1" applyProtection="1">
      <alignment horizontal="center" vertical="center"/>
      <protection hidden="1"/>
    </xf>
    <xf numFmtId="0" fontId="1" fillId="4" borderId="42" xfId="0" applyFont="1" applyFill="1" applyBorder="1" applyAlignment="1" applyProtection="1">
      <alignment horizontal="center" vertical="center"/>
      <protection hidden="1"/>
    </xf>
    <xf numFmtId="0" fontId="1" fillId="4" borderId="46" xfId="0" applyFont="1" applyFill="1" applyBorder="1" applyAlignment="1" applyProtection="1">
      <alignment horizontal="center" vertical="center" textRotation="255"/>
      <protection hidden="1"/>
    </xf>
    <xf numFmtId="0" fontId="1" fillId="4" borderId="49" xfId="0" applyFont="1" applyFill="1" applyBorder="1" applyAlignment="1" applyProtection="1">
      <alignment horizontal="center" vertical="center" textRotation="255"/>
      <protection hidden="1"/>
    </xf>
    <xf numFmtId="0" fontId="1" fillId="4" borderId="50" xfId="0" applyFont="1" applyFill="1" applyBorder="1" applyAlignment="1" applyProtection="1">
      <alignment horizontal="center" vertical="center" textRotation="255"/>
      <protection hidden="1"/>
    </xf>
    <xf numFmtId="0" fontId="1" fillId="4" borderId="57" xfId="0" applyFont="1" applyFill="1" applyBorder="1" applyAlignment="1" applyProtection="1">
      <alignment horizontal="center" vertical="center" textRotation="255"/>
      <protection hidden="1"/>
    </xf>
    <xf numFmtId="0" fontId="1" fillId="4" borderId="59" xfId="0" applyFont="1" applyFill="1" applyBorder="1" applyAlignment="1" applyProtection="1">
      <alignment horizontal="center" vertical="center" textRotation="255" shrinkToFit="1"/>
      <protection hidden="1"/>
    </xf>
    <xf numFmtId="0" fontId="1" fillId="4" borderId="5" xfId="0" applyFont="1" applyFill="1" applyBorder="1" applyAlignment="1" applyProtection="1">
      <alignment horizontal="center" vertical="center" textRotation="255" shrinkToFit="1"/>
      <protection hidden="1"/>
    </xf>
    <xf numFmtId="0" fontId="1" fillId="4" borderId="65" xfId="0" applyFont="1" applyFill="1" applyBorder="1" applyAlignment="1" applyProtection="1">
      <alignment horizontal="center" vertical="center" textRotation="255" shrinkToFit="1"/>
      <protection hidden="1"/>
    </xf>
    <xf numFmtId="177" fontId="1" fillId="4" borderId="60" xfId="0" applyNumberFormat="1" applyFont="1" applyFill="1" applyBorder="1" applyAlignment="1" applyProtection="1">
      <alignment horizontal="center"/>
      <protection hidden="1"/>
    </xf>
    <xf numFmtId="177" fontId="1" fillId="4" borderId="47" xfId="0" applyNumberFormat="1" applyFont="1" applyFill="1" applyBorder="1" applyAlignment="1" applyProtection="1">
      <alignment horizontal="center"/>
      <protection hidden="1"/>
    </xf>
    <xf numFmtId="0" fontId="9" fillId="0" borderId="1" xfId="0" applyFont="1" applyBorder="1" applyAlignment="1" applyProtection="1">
      <alignment horizontal="center" vertical="center"/>
      <protection hidden="1"/>
    </xf>
    <xf numFmtId="0" fontId="1" fillId="4" borderId="43" xfId="0" applyFont="1" applyFill="1" applyBorder="1" applyAlignment="1" applyProtection="1">
      <alignment horizontal="center" vertical="center" textRotation="255"/>
      <protection hidden="1"/>
    </xf>
    <xf numFmtId="0" fontId="1" fillId="4" borderId="110" xfId="0" applyFont="1" applyFill="1" applyBorder="1" applyAlignment="1" applyProtection="1">
      <alignment horizontal="center" vertical="center" textRotation="255"/>
      <protection hidden="1"/>
    </xf>
    <xf numFmtId="0" fontId="1" fillId="4" borderId="5" xfId="0" applyFont="1" applyFill="1" applyBorder="1" applyAlignment="1" applyProtection="1">
      <alignment horizontal="center" vertical="center" textRotation="255"/>
      <protection hidden="1"/>
    </xf>
    <xf numFmtId="0" fontId="1" fillId="4" borderId="65" xfId="0" applyFont="1" applyFill="1" applyBorder="1" applyAlignment="1" applyProtection="1">
      <alignment horizontal="center" vertical="center" textRotation="255"/>
      <protection hidden="1"/>
    </xf>
    <xf numFmtId="176" fontId="1" fillId="4" borderId="47" xfId="0" applyNumberFormat="1" applyFont="1" applyFill="1" applyBorder="1" applyAlignment="1" applyProtection="1">
      <alignment horizontal="center" vertical="center"/>
      <protection hidden="1"/>
    </xf>
    <xf numFmtId="176" fontId="1" fillId="4" borderId="47" xfId="0" applyNumberFormat="1" applyFont="1" applyFill="1" applyBorder="1" applyAlignment="1" applyProtection="1">
      <alignment horizontal="center"/>
      <protection hidden="1"/>
    </xf>
    <xf numFmtId="178" fontId="1" fillId="5" borderId="115" xfId="0" applyNumberFormat="1" applyFont="1" applyFill="1" applyBorder="1" applyAlignment="1" applyProtection="1">
      <alignment horizontal="center" vertical="center"/>
      <protection hidden="1"/>
    </xf>
    <xf numFmtId="178" fontId="1" fillId="5" borderId="32" xfId="0" applyNumberFormat="1" applyFont="1" applyFill="1" applyBorder="1" applyAlignment="1" applyProtection="1">
      <alignment horizontal="center" vertical="center"/>
      <protection hidden="1"/>
    </xf>
    <xf numFmtId="0" fontId="1" fillId="4" borderId="111" xfId="0" applyFont="1" applyFill="1" applyBorder="1" applyAlignment="1" applyProtection="1">
      <alignment horizontal="center" vertical="center" textRotation="255" shrinkToFit="1"/>
      <protection hidden="1"/>
    </xf>
    <xf numFmtId="0" fontId="1" fillId="4" borderId="104" xfId="0" applyFont="1" applyFill="1" applyBorder="1" applyAlignment="1" applyProtection="1">
      <alignment horizontal="center" vertical="center" textRotation="255" shrinkToFit="1"/>
      <protection hidden="1"/>
    </xf>
    <xf numFmtId="0" fontId="1" fillId="4" borderId="105" xfId="0" applyFont="1" applyFill="1" applyBorder="1" applyAlignment="1" applyProtection="1">
      <alignment horizontal="center" vertical="center" textRotation="255" shrinkToFit="1"/>
      <protection hidden="1"/>
    </xf>
    <xf numFmtId="0" fontId="12" fillId="0" borderId="0" xfId="0" applyFont="1" applyAlignment="1">
      <alignment horizontal="center" vertical="center"/>
    </xf>
    <xf numFmtId="0" fontId="10" fillId="5" borderId="74" xfId="0" applyFont="1" applyFill="1" applyBorder="1" applyAlignment="1" applyProtection="1">
      <alignment horizontal="center" vertical="center"/>
      <protection hidden="1"/>
    </xf>
    <xf numFmtId="0" fontId="10" fillId="5" borderId="75" xfId="0" applyFont="1" applyFill="1" applyBorder="1" applyAlignment="1" applyProtection="1">
      <alignment horizontal="center" vertical="center"/>
      <protection hidden="1"/>
    </xf>
    <xf numFmtId="176" fontId="12" fillId="0" borderId="0" xfId="0" applyNumberFormat="1" applyFont="1" applyAlignment="1" applyProtection="1">
      <alignment horizontal="center" vertical="center"/>
      <protection hidden="1"/>
    </xf>
    <xf numFmtId="0" fontId="10" fillId="5" borderId="74" xfId="0" applyFont="1" applyFill="1" applyBorder="1" applyAlignment="1" applyProtection="1">
      <alignment horizontal="center" vertical="center" wrapText="1"/>
      <protection hidden="1"/>
    </xf>
    <xf numFmtId="178" fontId="11" fillId="5" borderId="76" xfId="0" applyNumberFormat="1" applyFont="1" applyFill="1" applyBorder="1" applyAlignment="1" applyProtection="1">
      <alignment horizontal="center" vertical="center"/>
      <protection hidden="1"/>
    </xf>
    <xf numFmtId="178" fontId="11" fillId="5" borderId="37" xfId="0" applyNumberFormat="1"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183" fontId="11" fillId="0" borderId="1" xfId="0" applyNumberFormat="1" applyFont="1" applyBorder="1" applyAlignment="1" applyProtection="1">
      <alignment horizont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303D-3FE0-48B6-862D-8AE55C8F7248}">
  <sheetPr>
    <tabColor theme="9" tint="0.79998168889431442"/>
  </sheetPr>
  <dimension ref="B1:AA35"/>
  <sheetViews>
    <sheetView tabSelected="1" zoomScale="96" zoomScaleNormal="96" workbookViewId="0">
      <selection activeCell="D5" sqref="D5"/>
    </sheetView>
  </sheetViews>
  <sheetFormatPr defaultRowHeight="18.75"/>
  <cols>
    <col min="1" max="1" width="0.75" customWidth="1"/>
    <col min="2" max="2" width="8" customWidth="1"/>
    <col min="3" max="3" width="5.25" customWidth="1"/>
    <col min="4" max="4" width="12.75" customWidth="1"/>
    <col min="5" max="8" width="16.625" customWidth="1"/>
    <col min="9" max="9" width="4.625" customWidth="1"/>
    <col min="10" max="10" width="4.625" style="304" hidden="1" customWidth="1"/>
    <col min="11" max="15" width="4.75" hidden="1" customWidth="1"/>
    <col min="16" max="17" width="12.75" hidden="1" customWidth="1"/>
    <col min="18" max="18" width="13.75" hidden="1" customWidth="1"/>
    <col min="19" max="19" width="12.75" hidden="1" customWidth="1"/>
    <col min="20" max="20" width="14.25" hidden="1" customWidth="1"/>
    <col min="21" max="21" width="4.875" hidden="1" customWidth="1"/>
    <col min="22" max="22" width="5.25" hidden="1" customWidth="1"/>
    <col min="23" max="24" width="10.75" hidden="1" customWidth="1"/>
    <col min="25" max="25" width="12.125" hidden="1" customWidth="1"/>
    <col min="26" max="26" width="10.75" hidden="1" customWidth="1"/>
    <col min="27" max="27" width="12.125" hidden="1" customWidth="1"/>
    <col min="28" max="28" width="9.25" customWidth="1"/>
  </cols>
  <sheetData>
    <row r="1" spans="2:27" ht="65.45" customHeight="1">
      <c r="C1" s="347" t="s">
        <v>148</v>
      </c>
      <c r="D1" s="348"/>
      <c r="E1" s="348"/>
      <c r="F1" s="348"/>
      <c r="G1" s="348"/>
      <c r="H1" s="348"/>
    </row>
    <row r="2" spans="2:27" ht="33.6" customHeight="1" thickBot="1">
      <c r="C2" s="339" t="s">
        <v>112</v>
      </c>
      <c r="D2" s="339"/>
      <c r="E2" s="339"/>
      <c r="F2" s="339"/>
      <c r="G2" s="340" t="s">
        <v>1</v>
      </c>
      <c r="H2" s="341"/>
      <c r="L2" s="353" t="s">
        <v>133</v>
      </c>
      <c r="M2" s="353"/>
      <c r="N2" s="353"/>
      <c r="O2" s="353"/>
      <c r="P2" s="353"/>
      <c r="Q2" s="353"/>
      <c r="R2" s="353"/>
      <c r="S2" s="353"/>
      <c r="T2" s="353"/>
    </row>
    <row r="3" spans="2:27" ht="32.450000000000003" customHeight="1">
      <c r="B3" s="337" t="s">
        <v>134</v>
      </c>
      <c r="C3" s="342" t="s">
        <v>130</v>
      </c>
      <c r="D3" s="342"/>
      <c r="E3" s="342"/>
      <c r="F3" s="342"/>
      <c r="G3" s="354" t="s">
        <v>127</v>
      </c>
      <c r="H3" s="355"/>
      <c r="N3" s="345" t="s">
        <v>137</v>
      </c>
      <c r="O3" s="349" t="s">
        <v>131</v>
      </c>
      <c r="P3" s="343" t="s">
        <v>82</v>
      </c>
      <c r="Q3" s="343" t="s">
        <v>135</v>
      </c>
      <c r="R3" s="343" t="s">
        <v>136</v>
      </c>
      <c r="S3" s="343" t="s">
        <v>9</v>
      </c>
      <c r="T3" s="343" t="s">
        <v>10</v>
      </c>
      <c r="W3" s="352" t="s">
        <v>132</v>
      </c>
      <c r="X3" s="352"/>
      <c r="Y3" s="352"/>
      <c r="Z3" s="352"/>
      <c r="AA3" s="352"/>
    </row>
    <row r="4" spans="2:27" ht="31.9" customHeight="1">
      <c r="B4" s="338"/>
      <c r="C4" s="316" t="s">
        <v>128</v>
      </c>
      <c r="D4" s="316" t="s">
        <v>82</v>
      </c>
      <c r="E4" s="320" t="s">
        <v>7</v>
      </c>
      <c r="F4" s="320" t="s">
        <v>8</v>
      </c>
      <c r="G4" s="316" t="s">
        <v>9</v>
      </c>
      <c r="H4" s="314" t="s">
        <v>10</v>
      </c>
      <c r="K4" s="324">
        <v>0</v>
      </c>
      <c r="L4" s="324">
        <v>6</v>
      </c>
      <c r="M4" s="324"/>
      <c r="N4" s="346"/>
      <c r="O4" s="350"/>
      <c r="P4" s="351"/>
      <c r="Q4" s="344"/>
      <c r="R4" s="344"/>
      <c r="S4" s="351"/>
      <c r="T4" s="351"/>
    </row>
    <row r="5" spans="2:27">
      <c r="B5" s="332" t="s">
        <v>129</v>
      </c>
      <c r="C5" s="321">
        <v>1</v>
      </c>
      <c r="D5" s="11" t="s">
        <v>138</v>
      </c>
      <c r="E5" s="12">
        <v>40751.207999999999</v>
      </c>
      <c r="F5" s="12">
        <v>-91907.42</v>
      </c>
      <c r="G5" s="12">
        <v>40751.440999999999</v>
      </c>
      <c r="H5" s="315">
        <v>-91907.573000000004</v>
      </c>
      <c r="J5" s="335">
        <v>1</v>
      </c>
      <c r="K5" s="323">
        <f>IF(B5="","",COUNTA($B$5:B5))</f>
        <v>1</v>
      </c>
      <c r="L5" s="321" t="str">
        <f>IF(B5="◯","",$L$4+C5-COUNTA($B$5:B5))</f>
        <v/>
      </c>
      <c r="M5" s="321">
        <f t="shared" ref="M5:M34" si="0">IF(D5="","",IF(K5="",L5,K5))</f>
        <v>1</v>
      </c>
      <c r="N5" s="321" t="str">
        <f t="shared" ref="N5:N12" si="1">IF(J5&gt;$K$35,"",IF(J5&gt;$D$35,J5-($D$35-$B$35),""))</f>
        <v/>
      </c>
      <c r="O5" s="321">
        <f>IF(AND(M5="",N5=""),"",IF(M5="",N5,M5))</f>
        <v>1</v>
      </c>
      <c r="P5" s="326" t="str">
        <f t="shared" ref="P5:P34" si="2">IF(D5="","",D5)</f>
        <v>K136</v>
      </c>
      <c r="Q5" s="12">
        <f t="shared" ref="Q5:Q34" si="3">IF(E5="","",E5)</f>
        <v>40751.207999999999</v>
      </c>
      <c r="R5" s="12">
        <f t="shared" ref="R5:R34" si="4">IF(F5="","",F5)</f>
        <v>-91907.42</v>
      </c>
      <c r="S5" s="12">
        <f t="shared" ref="S5:S34" si="5">IF(G5="","",G5)</f>
        <v>40751.440999999999</v>
      </c>
      <c r="T5" s="12">
        <f t="shared" ref="T5:T34" si="6">IF(H5="","",H5)</f>
        <v>-91907.573000000004</v>
      </c>
      <c r="V5" s="325">
        <v>1</v>
      </c>
      <c r="W5" t="str">
        <f t="shared" ref="W5:W34" si="7">IF($V5&gt;$D$35+6-$B$35,"",VLOOKUP($V5,$O$5:$T$34,2,FALSE))</f>
        <v>K136</v>
      </c>
      <c r="X5" s="336">
        <f t="shared" ref="X5:X34" si="8">IF($V5&gt;$D$35+6-$B$35,"",VLOOKUP($V5,$O$5:$T$34,3,FALSE))</f>
        <v>40751.207999999999</v>
      </c>
      <c r="Y5" s="336">
        <f t="shared" ref="Y5:Y34" si="9">IF($V5&gt;$D$35+6-$B$35,"",VLOOKUP($V5,$O$5:$T$34,4,FALSE))</f>
        <v>-91907.42</v>
      </c>
      <c r="Z5" s="336">
        <f t="shared" ref="Z5:Z34" si="10">IF($V5&gt;$D$35+6-$B$35,"",VLOOKUP($V5,$O$5:$T$34,5,FALSE))</f>
        <v>40751.440999999999</v>
      </c>
      <c r="AA5" s="336">
        <f t="shared" ref="AA5:AA34" si="11">IF($V5&gt;$D$35+6-$B$35,"",VLOOKUP($V5,$O$5:$T$34,6,FALSE))</f>
        <v>-91907.573000000004</v>
      </c>
    </row>
    <row r="6" spans="2:27">
      <c r="B6" s="332" t="s">
        <v>129</v>
      </c>
      <c r="C6" s="321">
        <v>2</v>
      </c>
      <c r="D6" s="11" t="s">
        <v>139</v>
      </c>
      <c r="E6" s="19">
        <v>40763.1</v>
      </c>
      <c r="F6" s="19">
        <v>-91896.176999999996</v>
      </c>
      <c r="G6" s="19">
        <v>40763.387000000002</v>
      </c>
      <c r="H6" s="26">
        <v>-91896.063999999998</v>
      </c>
      <c r="J6" s="335">
        <v>2</v>
      </c>
      <c r="K6" s="323">
        <f>IF(B6="","",COUNTA($B$5:B6))</f>
        <v>2</v>
      </c>
      <c r="L6" s="321" t="str">
        <f>IF(B6="◯","",$L$4+C6-COUNTA($B$5:B6))</f>
        <v/>
      </c>
      <c r="M6" s="321">
        <f t="shared" si="0"/>
        <v>2</v>
      </c>
      <c r="N6" s="321" t="str">
        <f t="shared" si="1"/>
        <v/>
      </c>
      <c r="O6" s="321">
        <f t="shared" ref="O6:O34" si="12">IF(AND(M6="",N6=""),"",IF(M6="",N6,M6))</f>
        <v>2</v>
      </c>
      <c r="P6" s="326" t="str">
        <f t="shared" si="2"/>
        <v>K61</v>
      </c>
      <c r="Q6" s="12">
        <f t="shared" ref="Q6:Q9" si="13">IF(E6="","",E6)</f>
        <v>40763.1</v>
      </c>
      <c r="R6" s="12">
        <f t="shared" ref="R6:R9" si="14">IF(F6="","",F6)</f>
        <v>-91896.176999999996</v>
      </c>
      <c r="S6" s="12">
        <f t="shared" ref="S6:S9" si="15">IF(G6="","",G6)</f>
        <v>40763.387000000002</v>
      </c>
      <c r="T6" s="12">
        <f t="shared" ref="T6:T9" si="16">IF(H6="","",H6)</f>
        <v>-91896.063999999998</v>
      </c>
      <c r="V6" s="325">
        <v>2</v>
      </c>
      <c r="W6" t="str">
        <f t="shared" si="7"/>
        <v>K61</v>
      </c>
      <c r="X6" s="336">
        <f t="shared" si="8"/>
        <v>40763.1</v>
      </c>
      <c r="Y6" s="336">
        <f t="shared" si="9"/>
        <v>-91896.176999999996</v>
      </c>
      <c r="Z6" s="336">
        <f t="shared" si="10"/>
        <v>40763.387000000002</v>
      </c>
      <c r="AA6" s="336">
        <f t="shared" si="11"/>
        <v>-91896.063999999998</v>
      </c>
    </row>
    <row r="7" spans="2:27">
      <c r="B7" s="332" t="s">
        <v>129</v>
      </c>
      <c r="C7" s="321">
        <v>3</v>
      </c>
      <c r="D7" s="11" t="s">
        <v>140</v>
      </c>
      <c r="E7" s="19">
        <v>40746.485999999997</v>
      </c>
      <c r="F7" s="19">
        <v>-91883.832999999999</v>
      </c>
      <c r="G7" s="19">
        <v>40746.894</v>
      </c>
      <c r="H7" s="26">
        <v>-91883.892000000007</v>
      </c>
      <c r="J7" s="335">
        <v>3</v>
      </c>
      <c r="K7" s="323">
        <f>IF(B7="","",COUNTA($B$5:B7))</f>
        <v>3</v>
      </c>
      <c r="L7" s="321" t="str">
        <f>IF(B7="◯","",$L$4+C7-COUNTA($B$5:B7))</f>
        <v/>
      </c>
      <c r="M7" s="321">
        <f t="shared" si="0"/>
        <v>3</v>
      </c>
      <c r="N7" s="321" t="str">
        <f t="shared" si="1"/>
        <v/>
      </c>
      <c r="O7" s="321">
        <f t="shared" si="12"/>
        <v>3</v>
      </c>
      <c r="P7" s="326" t="str">
        <f t="shared" si="2"/>
        <v>K68</v>
      </c>
      <c r="Q7" s="12">
        <f t="shared" si="13"/>
        <v>40746.485999999997</v>
      </c>
      <c r="R7" s="12">
        <f t="shared" si="14"/>
        <v>-91883.832999999999</v>
      </c>
      <c r="S7" s="12">
        <f t="shared" si="15"/>
        <v>40746.894</v>
      </c>
      <c r="T7" s="12">
        <f t="shared" si="16"/>
        <v>-91883.892000000007</v>
      </c>
      <c r="V7" s="325">
        <v>3</v>
      </c>
      <c r="W7" t="str">
        <f t="shared" si="7"/>
        <v>K68</v>
      </c>
      <c r="X7" s="336">
        <f t="shared" si="8"/>
        <v>40746.485999999997</v>
      </c>
      <c r="Y7" s="336">
        <f t="shared" si="9"/>
        <v>-91883.832999999999</v>
      </c>
      <c r="Z7" s="336">
        <f t="shared" si="10"/>
        <v>40746.894</v>
      </c>
      <c r="AA7" s="336">
        <f t="shared" si="11"/>
        <v>-91883.892000000007</v>
      </c>
    </row>
    <row r="8" spans="2:27">
      <c r="B8" s="332" t="s">
        <v>129</v>
      </c>
      <c r="C8" s="321">
        <v>4</v>
      </c>
      <c r="D8" s="11" t="s">
        <v>141</v>
      </c>
      <c r="E8" s="19">
        <v>40743.476999999999</v>
      </c>
      <c r="F8" s="19">
        <v>-91881.240999999995</v>
      </c>
      <c r="G8" s="19">
        <v>40743.688000000002</v>
      </c>
      <c r="H8" s="26">
        <v>-91881.32</v>
      </c>
      <c r="J8" s="335">
        <v>4</v>
      </c>
      <c r="K8" s="323">
        <f>IF(B8="","",COUNTA($B$5:B8))</f>
        <v>4</v>
      </c>
      <c r="L8" s="321" t="str">
        <f>IF(B8="◯","",$L$4+C8-COUNTA($B$5:B8))</f>
        <v/>
      </c>
      <c r="M8" s="321">
        <f t="shared" si="0"/>
        <v>4</v>
      </c>
      <c r="N8" s="321" t="str">
        <f t="shared" si="1"/>
        <v/>
      </c>
      <c r="O8" s="321">
        <f t="shared" si="12"/>
        <v>4</v>
      </c>
      <c r="P8" s="326" t="str">
        <f t="shared" si="2"/>
        <v>K62</v>
      </c>
      <c r="Q8" s="12">
        <f t="shared" si="13"/>
        <v>40743.476999999999</v>
      </c>
      <c r="R8" s="12">
        <f t="shared" si="14"/>
        <v>-91881.240999999995</v>
      </c>
      <c r="S8" s="12">
        <f t="shared" si="15"/>
        <v>40743.688000000002</v>
      </c>
      <c r="T8" s="12">
        <f t="shared" si="16"/>
        <v>-91881.32</v>
      </c>
      <c r="V8" s="325">
        <v>4</v>
      </c>
      <c r="W8" t="str">
        <f t="shared" si="7"/>
        <v>K62</v>
      </c>
      <c r="X8" s="336">
        <f t="shared" si="8"/>
        <v>40743.476999999999</v>
      </c>
      <c r="Y8" s="336">
        <f t="shared" si="9"/>
        <v>-91881.240999999995</v>
      </c>
      <c r="Z8" s="336">
        <f t="shared" si="10"/>
        <v>40743.688000000002</v>
      </c>
      <c r="AA8" s="336">
        <f t="shared" si="11"/>
        <v>-91881.32</v>
      </c>
    </row>
    <row r="9" spans="2:27">
      <c r="B9" s="332" t="s">
        <v>129</v>
      </c>
      <c r="C9" s="321">
        <v>5</v>
      </c>
      <c r="D9" s="11" t="s">
        <v>142</v>
      </c>
      <c r="E9" s="12">
        <v>40734.370999999999</v>
      </c>
      <c r="F9" s="12">
        <v>-91890.438999999998</v>
      </c>
      <c r="G9" s="12">
        <v>40734.506000000001</v>
      </c>
      <c r="H9" s="315">
        <v>-91890.554000000004</v>
      </c>
      <c r="J9" s="335">
        <v>5</v>
      </c>
      <c r="K9" s="323">
        <f>IF(B9="","",COUNTA($B$5:B9))</f>
        <v>5</v>
      </c>
      <c r="L9" s="321" t="str">
        <f>IF(B9="◯","",$L$4+C9-COUNTA($B$5:B9))</f>
        <v/>
      </c>
      <c r="M9" s="321">
        <f t="shared" si="0"/>
        <v>5</v>
      </c>
      <c r="N9" s="321" t="str">
        <f t="shared" si="1"/>
        <v/>
      </c>
      <c r="O9" s="321">
        <f t="shared" si="12"/>
        <v>5</v>
      </c>
      <c r="P9" s="326" t="str">
        <f t="shared" si="2"/>
        <v>K101</v>
      </c>
      <c r="Q9" s="12">
        <f t="shared" si="13"/>
        <v>40734.370999999999</v>
      </c>
      <c r="R9" s="12">
        <f t="shared" si="14"/>
        <v>-91890.438999999998</v>
      </c>
      <c r="S9" s="12">
        <f t="shared" si="15"/>
        <v>40734.506000000001</v>
      </c>
      <c r="T9" s="12">
        <f t="shared" si="16"/>
        <v>-91890.554000000004</v>
      </c>
      <c r="V9" s="325">
        <v>5</v>
      </c>
      <c r="W9" t="str">
        <f t="shared" si="7"/>
        <v>K101</v>
      </c>
      <c r="X9" s="336">
        <f t="shared" si="8"/>
        <v>40734.370999999999</v>
      </c>
      <c r="Y9" s="336">
        <f t="shared" si="9"/>
        <v>-91890.438999999998</v>
      </c>
      <c r="Z9" s="336">
        <f t="shared" si="10"/>
        <v>40734.506000000001</v>
      </c>
      <c r="AA9" s="336">
        <f t="shared" si="11"/>
        <v>-91890.554000000004</v>
      </c>
    </row>
    <row r="10" spans="2:27">
      <c r="B10" s="332" t="s">
        <v>129</v>
      </c>
      <c r="C10" s="321">
        <v>6</v>
      </c>
      <c r="D10" s="11" t="s">
        <v>143</v>
      </c>
      <c r="E10" s="12">
        <v>40741.838000000003</v>
      </c>
      <c r="F10" s="12">
        <v>-91897.357999999993</v>
      </c>
      <c r="G10" s="19">
        <v>40741.995000000003</v>
      </c>
      <c r="H10" s="26">
        <v>-91897.479000000007</v>
      </c>
      <c r="J10" s="335">
        <v>6</v>
      </c>
      <c r="K10" s="323">
        <f>IF(B10="","",COUNTA($B$5:B10))</f>
        <v>6</v>
      </c>
      <c r="L10" s="321" t="str">
        <f>IF(B10="◯","",$L$4+C10-COUNTA($B$5:B10))</f>
        <v/>
      </c>
      <c r="M10" s="321">
        <f t="shared" si="0"/>
        <v>6</v>
      </c>
      <c r="N10" s="321" t="str">
        <f t="shared" si="1"/>
        <v/>
      </c>
      <c r="O10" s="321">
        <f t="shared" si="12"/>
        <v>6</v>
      </c>
      <c r="P10" s="326" t="str">
        <f t="shared" si="2"/>
        <v>K112</v>
      </c>
      <c r="Q10" s="12">
        <f t="shared" si="3"/>
        <v>40741.838000000003</v>
      </c>
      <c r="R10" s="12">
        <f t="shared" si="4"/>
        <v>-91897.357999999993</v>
      </c>
      <c r="S10" s="12">
        <f t="shared" si="5"/>
        <v>40741.995000000003</v>
      </c>
      <c r="T10" s="12">
        <f t="shared" si="6"/>
        <v>-91897.479000000007</v>
      </c>
      <c r="V10" s="325">
        <v>6</v>
      </c>
      <c r="W10" t="str">
        <f t="shared" si="7"/>
        <v>K112</v>
      </c>
      <c r="X10" s="336">
        <f t="shared" si="8"/>
        <v>40741.838000000003</v>
      </c>
      <c r="Y10" s="336">
        <f t="shared" si="9"/>
        <v>-91897.357999999993</v>
      </c>
      <c r="Z10" s="336">
        <f t="shared" si="10"/>
        <v>40741.995000000003</v>
      </c>
      <c r="AA10" s="336">
        <f t="shared" si="11"/>
        <v>-91897.479000000007</v>
      </c>
    </row>
    <row r="11" spans="2:27">
      <c r="B11" s="332"/>
      <c r="C11" s="321">
        <v>7</v>
      </c>
      <c r="D11" s="11" t="s">
        <v>144</v>
      </c>
      <c r="E11" s="12">
        <v>40770.720000000001</v>
      </c>
      <c r="F11" s="12">
        <v>-91899.679000000004</v>
      </c>
      <c r="G11" s="12"/>
      <c r="H11" s="315"/>
      <c r="J11" s="335">
        <v>7</v>
      </c>
      <c r="K11" s="323" t="str">
        <f>IF(B11="","",COUNTA($B$5:B11))</f>
        <v/>
      </c>
      <c r="L11" s="321">
        <f>IF(B11="◯","",$L$4+C11-COUNTA($B$5:B11))</f>
        <v>7</v>
      </c>
      <c r="M11" s="321">
        <f t="shared" si="0"/>
        <v>7</v>
      </c>
      <c r="N11" s="321" t="str">
        <f t="shared" si="1"/>
        <v/>
      </c>
      <c r="O11" s="321">
        <f t="shared" si="12"/>
        <v>7</v>
      </c>
      <c r="P11" s="326" t="str">
        <f t="shared" si="2"/>
        <v>4-408</v>
      </c>
      <c r="Q11" s="12">
        <f t="shared" si="3"/>
        <v>40770.720000000001</v>
      </c>
      <c r="R11" s="12">
        <f t="shared" si="4"/>
        <v>-91899.679000000004</v>
      </c>
      <c r="S11" s="12" t="str">
        <f t="shared" si="5"/>
        <v/>
      </c>
      <c r="T11" s="12" t="str">
        <f t="shared" si="6"/>
        <v/>
      </c>
      <c r="V11" s="325">
        <v>7</v>
      </c>
      <c r="W11" t="str">
        <f t="shared" si="7"/>
        <v>4-408</v>
      </c>
      <c r="X11" s="336">
        <f t="shared" si="8"/>
        <v>40770.720000000001</v>
      </c>
      <c r="Y11" s="336">
        <f t="shared" si="9"/>
        <v>-91899.679000000004</v>
      </c>
      <c r="Z11" s="336" t="str">
        <f t="shared" si="10"/>
        <v/>
      </c>
      <c r="AA11" s="336" t="str">
        <f t="shared" si="11"/>
        <v/>
      </c>
    </row>
    <row r="12" spans="2:27">
      <c r="B12" s="332"/>
      <c r="C12" s="321">
        <v>8</v>
      </c>
      <c r="D12" s="11" t="s">
        <v>145</v>
      </c>
      <c r="E12" s="12">
        <v>40751.707999999999</v>
      </c>
      <c r="F12" s="12">
        <v>-91890.183999999994</v>
      </c>
      <c r="G12" s="19"/>
      <c r="H12" s="26"/>
      <c r="J12" s="335">
        <v>8</v>
      </c>
      <c r="K12" s="323" t="str">
        <f>IF(B12="","",COUNTA($B$5:B12))</f>
        <v/>
      </c>
      <c r="L12" s="321">
        <f>IF(B12="◯","",$L$4+C12-COUNTA($B$5:B12))</f>
        <v>8</v>
      </c>
      <c r="M12" s="321">
        <f t="shared" si="0"/>
        <v>8</v>
      </c>
      <c r="N12" s="321" t="str">
        <f t="shared" si="1"/>
        <v/>
      </c>
      <c r="O12" s="321">
        <f t="shared" si="12"/>
        <v>8</v>
      </c>
      <c r="P12" s="326" t="str">
        <f t="shared" si="2"/>
        <v>4-409</v>
      </c>
      <c r="Q12" s="12">
        <f t="shared" si="3"/>
        <v>40751.707999999999</v>
      </c>
      <c r="R12" s="12">
        <f t="shared" si="4"/>
        <v>-91890.183999999994</v>
      </c>
      <c r="S12" s="12" t="str">
        <f t="shared" si="5"/>
        <v/>
      </c>
      <c r="T12" s="12" t="str">
        <f t="shared" si="6"/>
        <v/>
      </c>
      <c r="V12" s="325">
        <v>8</v>
      </c>
      <c r="W12" t="str">
        <f t="shared" si="7"/>
        <v>4-409</v>
      </c>
      <c r="X12" s="336">
        <f t="shared" si="8"/>
        <v>40751.707999999999</v>
      </c>
      <c r="Y12" s="336">
        <f t="shared" si="9"/>
        <v>-91890.183999999994</v>
      </c>
      <c r="Z12" s="336" t="str">
        <f t="shared" si="10"/>
        <v/>
      </c>
      <c r="AA12" s="336" t="str">
        <f t="shared" si="11"/>
        <v/>
      </c>
    </row>
    <row r="13" spans="2:27">
      <c r="B13" s="332"/>
      <c r="C13" s="321">
        <v>9</v>
      </c>
      <c r="D13" s="11"/>
      <c r="E13" s="12"/>
      <c r="F13" s="12"/>
      <c r="G13" s="19"/>
      <c r="H13" s="26"/>
      <c r="J13" s="335">
        <v>9</v>
      </c>
      <c r="K13" s="323" t="str">
        <f>IF(B13="","",COUNTA($B$5:B13))</f>
        <v/>
      </c>
      <c r="L13" s="321">
        <f>IF(B13="◯","",$L$4+C13-COUNTA($B$5:B13))</f>
        <v>9</v>
      </c>
      <c r="M13" s="321" t="str">
        <f t="shared" si="0"/>
        <v/>
      </c>
      <c r="N13" s="321" t="str">
        <f>IF(J13&gt;$K$35,"",IF(J13&gt;$D$35,J13-($D$35-$B$35),""))</f>
        <v/>
      </c>
      <c r="O13" s="321" t="str">
        <f t="shared" si="12"/>
        <v/>
      </c>
      <c r="P13" s="326" t="str">
        <f t="shared" si="2"/>
        <v/>
      </c>
      <c r="Q13" s="12" t="str">
        <f t="shared" si="3"/>
        <v/>
      </c>
      <c r="R13" s="12" t="str">
        <f t="shared" si="4"/>
        <v/>
      </c>
      <c r="S13" s="12" t="str">
        <f t="shared" si="5"/>
        <v/>
      </c>
      <c r="T13" s="12" t="str">
        <f t="shared" si="6"/>
        <v/>
      </c>
      <c r="V13" s="325">
        <v>9</v>
      </c>
      <c r="W13" t="str">
        <f t="shared" si="7"/>
        <v/>
      </c>
      <c r="X13" s="336" t="str">
        <f t="shared" si="8"/>
        <v/>
      </c>
      <c r="Y13" s="336" t="str">
        <f t="shared" si="9"/>
        <v/>
      </c>
      <c r="Z13" s="336" t="str">
        <f t="shared" si="10"/>
        <v/>
      </c>
      <c r="AA13" s="336" t="str">
        <f t="shared" si="11"/>
        <v/>
      </c>
    </row>
    <row r="14" spans="2:27">
      <c r="B14" s="332"/>
      <c r="C14" s="321">
        <v>10</v>
      </c>
      <c r="D14" s="11"/>
      <c r="E14" s="12"/>
      <c r="F14" s="12"/>
      <c r="G14" s="12"/>
      <c r="H14" s="315"/>
      <c r="J14" s="335">
        <v>10</v>
      </c>
      <c r="K14" s="323" t="str">
        <f>IF(B14="","",COUNTA($B$5:B14))</f>
        <v/>
      </c>
      <c r="L14" s="321">
        <f>IF(B14="◯","",$L$4+C14-COUNTA($B$5:B14))</f>
        <v>10</v>
      </c>
      <c r="M14" s="321" t="str">
        <f t="shared" si="0"/>
        <v/>
      </c>
      <c r="N14" s="321" t="str">
        <f t="shared" ref="N14:N34" si="17">IF(J14&gt;$K$35,"",IF(J14&gt;$D$35,J14-($D$35-$B$35),""))</f>
        <v/>
      </c>
      <c r="O14" s="321" t="str">
        <f t="shared" si="12"/>
        <v/>
      </c>
      <c r="P14" s="326" t="str">
        <f t="shared" si="2"/>
        <v/>
      </c>
      <c r="Q14" s="12" t="str">
        <f t="shared" si="3"/>
        <v/>
      </c>
      <c r="R14" s="12" t="str">
        <f t="shared" si="4"/>
        <v/>
      </c>
      <c r="S14" s="12" t="str">
        <f t="shared" si="5"/>
        <v/>
      </c>
      <c r="T14" s="12" t="str">
        <f t="shared" si="6"/>
        <v/>
      </c>
      <c r="V14" s="325">
        <v>10</v>
      </c>
      <c r="W14" t="str">
        <f t="shared" si="7"/>
        <v/>
      </c>
      <c r="X14" s="336" t="str">
        <f t="shared" si="8"/>
        <v/>
      </c>
      <c r="Y14" s="336" t="str">
        <f t="shared" si="9"/>
        <v/>
      </c>
      <c r="Z14" s="336" t="str">
        <f t="shared" si="10"/>
        <v/>
      </c>
      <c r="AA14" s="336" t="str">
        <f t="shared" si="11"/>
        <v/>
      </c>
    </row>
    <row r="15" spans="2:27">
      <c r="B15" s="332"/>
      <c r="C15" s="321">
        <v>11</v>
      </c>
      <c r="D15" s="11"/>
      <c r="E15" s="12"/>
      <c r="F15" s="12"/>
      <c r="G15" s="19"/>
      <c r="H15" s="26"/>
      <c r="J15" s="335">
        <v>11</v>
      </c>
      <c r="K15" s="323" t="str">
        <f>IF(B15="","",COUNTA($B$5:B15))</f>
        <v/>
      </c>
      <c r="L15" s="321">
        <f>IF(B15="◯","",$L$4+C15-COUNTA($B$5:B15))</f>
        <v>11</v>
      </c>
      <c r="M15" s="321" t="str">
        <f t="shared" si="0"/>
        <v/>
      </c>
      <c r="N15" s="321" t="str">
        <f t="shared" si="17"/>
        <v/>
      </c>
      <c r="O15" s="321" t="str">
        <f t="shared" si="12"/>
        <v/>
      </c>
      <c r="P15" s="326" t="str">
        <f t="shared" si="2"/>
        <v/>
      </c>
      <c r="Q15" s="12" t="str">
        <f t="shared" si="3"/>
        <v/>
      </c>
      <c r="R15" s="12" t="str">
        <f t="shared" si="4"/>
        <v/>
      </c>
      <c r="S15" s="12" t="str">
        <f t="shared" si="5"/>
        <v/>
      </c>
      <c r="T15" s="12" t="str">
        <f t="shared" si="6"/>
        <v/>
      </c>
      <c r="V15" s="325">
        <v>11</v>
      </c>
      <c r="W15" t="str">
        <f t="shared" si="7"/>
        <v/>
      </c>
      <c r="X15" s="336" t="str">
        <f t="shared" si="8"/>
        <v/>
      </c>
      <c r="Y15" s="336" t="str">
        <f t="shared" si="9"/>
        <v/>
      </c>
      <c r="Z15" s="336" t="str">
        <f t="shared" si="10"/>
        <v/>
      </c>
      <c r="AA15" s="336" t="str">
        <f t="shared" si="11"/>
        <v/>
      </c>
    </row>
    <row r="16" spans="2:27">
      <c r="B16" s="332"/>
      <c r="C16" s="321">
        <v>12</v>
      </c>
      <c r="D16" s="11"/>
      <c r="E16" s="12"/>
      <c r="F16" s="12"/>
      <c r="G16" s="19"/>
      <c r="H16" s="26"/>
      <c r="J16" s="335">
        <v>12</v>
      </c>
      <c r="K16" s="323" t="str">
        <f>IF(B16="","",COUNTA($B$5:B16))</f>
        <v/>
      </c>
      <c r="L16" s="321">
        <f>IF(B16="◯","",$L$4+C16-COUNTA($B$5:B16))</f>
        <v>12</v>
      </c>
      <c r="M16" s="321" t="str">
        <f t="shared" si="0"/>
        <v/>
      </c>
      <c r="N16" s="321" t="str">
        <f t="shared" si="17"/>
        <v/>
      </c>
      <c r="O16" s="321" t="str">
        <f t="shared" si="12"/>
        <v/>
      </c>
      <c r="P16" s="326" t="str">
        <f t="shared" si="2"/>
        <v/>
      </c>
      <c r="Q16" s="12" t="str">
        <f t="shared" si="3"/>
        <v/>
      </c>
      <c r="R16" s="12" t="str">
        <f t="shared" si="4"/>
        <v/>
      </c>
      <c r="S16" s="12" t="str">
        <f t="shared" si="5"/>
        <v/>
      </c>
      <c r="T16" s="12" t="str">
        <f t="shared" si="6"/>
        <v/>
      </c>
      <c r="V16" s="325">
        <v>12</v>
      </c>
      <c r="W16" t="str">
        <f t="shared" si="7"/>
        <v/>
      </c>
      <c r="X16" s="336" t="str">
        <f t="shared" si="8"/>
        <v/>
      </c>
      <c r="Y16" s="336" t="str">
        <f t="shared" si="9"/>
        <v/>
      </c>
      <c r="Z16" s="336" t="str">
        <f t="shared" si="10"/>
        <v/>
      </c>
      <c r="AA16" s="336" t="str">
        <f t="shared" si="11"/>
        <v/>
      </c>
    </row>
    <row r="17" spans="2:27">
      <c r="B17" s="332"/>
      <c r="C17" s="321">
        <v>13</v>
      </c>
      <c r="D17" s="11"/>
      <c r="E17" s="19"/>
      <c r="F17" s="19"/>
      <c r="G17" s="19"/>
      <c r="H17" s="26"/>
      <c r="J17" s="335">
        <v>13</v>
      </c>
      <c r="K17" s="323" t="str">
        <f>IF(B17="","",COUNTA($B$5:B17))</f>
        <v/>
      </c>
      <c r="L17" s="321">
        <f>IF(B17="◯","",$L$4+C17-COUNTA($B$5:B17))</f>
        <v>13</v>
      </c>
      <c r="M17" s="321" t="str">
        <f t="shared" si="0"/>
        <v/>
      </c>
      <c r="N17" s="321" t="str">
        <f t="shared" si="17"/>
        <v/>
      </c>
      <c r="O17" s="321" t="str">
        <f t="shared" si="12"/>
        <v/>
      </c>
      <c r="P17" s="326" t="str">
        <f t="shared" si="2"/>
        <v/>
      </c>
      <c r="Q17" s="12" t="str">
        <f t="shared" si="3"/>
        <v/>
      </c>
      <c r="R17" s="12" t="str">
        <f t="shared" si="4"/>
        <v/>
      </c>
      <c r="S17" s="12" t="str">
        <f t="shared" si="5"/>
        <v/>
      </c>
      <c r="T17" s="12" t="str">
        <f t="shared" si="6"/>
        <v/>
      </c>
      <c r="V17" s="325">
        <v>13</v>
      </c>
      <c r="W17" t="str">
        <f t="shared" si="7"/>
        <v/>
      </c>
      <c r="X17" s="336" t="str">
        <f t="shared" si="8"/>
        <v/>
      </c>
      <c r="Y17" s="336" t="str">
        <f t="shared" si="9"/>
        <v/>
      </c>
      <c r="Z17" s="336" t="str">
        <f t="shared" si="10"/>
        <v/>
      </c>
      <c r="AA17" s="336" t="str">
        <f t="shared" si="11"/>
        <v/>
      </c>
    </row>
    <row r="18" spans="2:27">
      <c r="B18" s="332"/>
      <c r="C18" s="321">
        <v>14</v>
      </c>
      <c r="D18" s="11"/>
      <c r="E18" s="19"/>
      <c r="F18" s="19"/>
      <c r="G18" s="19"/>
      <c r="H18" s="26"/>
      <c r="J18" s="335">
        <v>14</v>
      </c>
      <c r="K18" s="323" t="str">
        <f>IF(B18="","",COUNTA($B$5:B18))</f>
        <v/>
      </c>
      <c r="L18" s="321">
        <f>IF(B18="◯","",$L$4+C18-COUNTA($B$5:B18))</f>
        <v>14</v>
      </c>
      <c r="M18" s="321" t="str">
        <f t="shared" si="0"/>
        <v/>
      </c>
      <c r="N18" s="321" t="str">
        <f t="shared" si="17"/>
        <v/>
      </c>
      <c r="O18" s="321" t="str">
        <f t="shared" si="12"/>
        <v/>
      </c>
      <c r="P18" s="326" t="str">
        <f t="shared" si="2"/>
        <v/>
      </c>
      <c r="Q18" s="12" t="str">
        <f t="shared" si="3"/>
        <v/>
      </c>
      <c r="R18" s="12" t="str">
        <f t="shared" si="4"/>
        <v/>
      </c>
      <c r="S18" s="12" t="str">
        <f t="shared" si="5"/>
        <v/>
      </c>
      <c r="T18" s="12" t="str">
        <f t="shared" si="6"/>
        <v/>
      </c>
      <c r="V18" s="325">
        <v>14</v>
      </c>
      <c r="W18" t="str">
        <f t="shared" si="7"/>
        <v/>
      </c>
      <c r="X18" s="336" t="str">
        <f t="shared" si="8"/>
        <v/>
      </c>
      <c r="Y18" s="336" t="str">
        <f t="shared" si="9"/>
        <v/>
      </c>
      <c r="Z18" s="336" t="str">
        <f t="shared" si="10"/>
        <v/>
      </c>
      <c r="AA18" s="336" t="str">
        <f t="shared" si="11"/>
        <v/>
      </c>
    </row>
    <row r="19" spans="2:27">
      <c r="B19" s="332"/>
      <c r="C19" s="321">
        <v>15</v>
      </c>
      <c r="D19" s="11"/>
      <c r="E19" s="19"/>
      <c r="F19" s="19"/>
      <c r="G19" s="19"/>
      <c r="H19" s="26"/>
      <c r="J19" s="335">
        <v>15</v>
      </c>
      <c r="K19" s="323" t="str">
        <f>IF(B19="","",COUNTA($B$5:B19))</f>
        <v/>
      </c>
      <c r="L19" s="321">
        <f>IF(B19="◯","",$L$4+C19-COUNTA($B$5:B19))</f>
        <v>15</v>
      </c>
      <c r="M19" s="321" t="str">
        <f t="shared" si="0"/>
        <v/>
      </c>
      <c r="N19" s="321" t="str">
        <f t="shared" si="17"/>
        <v/>
      </c>
      <c r="O19" s="321" t="str">
        <f t="shared" si="12"/>
        <v/>
      </c>
      <c r="P19" s="326" t="str">
        <f t="shared" si="2"/>
        <v/>
      </c>
      <c r="Q19" s="12" t="str">
        <f t="shared" si="3"/>
        <v/>
      </c>
      <c r="R19" s="12" t="str">
        <f t="shared" si="4"/>
        <v/>
      </c>
      <c r="S19" s="12" t="str">
        <f t="shared" si="5"/>
        <v/>
      </c>
      <c r="T19" s="12" t="str">
        <f t="shared" si="6"/>
        <v/>
      </c>
      <c r="V19" s="325">
        <v>15</v>
      </c>
      <c r="W19" t="str">
        <f t="shared" si="7"/>
        <v/>
      </c>
      <c r="X19" s="336" t="str">
        <f t="shared" si="8"/>
        <v/>
      </c>
      <c r="Y19" s="336" t="str">
        <f t="shared" si="9"/>
        <v/>
      </c>
      <c r="Z19" s="336" t="str">
        <f t="shared" si="10"/>
        <v/>
      </c>
      <c r="AA19" s="336" t="str">
        <f t="shared" si="11"/>
        <v/>
      </c>
    </row>
    <row r="20" spans="2:27">
      <c r="B20" s="332"/>
      <c r="C20" s="321">
        <v>16</v>
      </c>
      <c r="D20" s="11"/>
      <c r="E20" s="12"/>
      <c r="F20" s="12"/>
      <c r="G20" s="19"/>
      <c r="H20" s="26"/>
      <c r="J20" s="335">
        <v>16</v>
      </c>
      <c r="K20" s="323" t="str">
        <f>IF(B20="","",COUNTA($B$5:B20))</f>
        <v/>
      </c>
      <c r="L20" s="321">
        <f>IF(B20="◯","",$L$4+C20-COUNTA($B$5:B20))</f>
        <v>16</v>
      </c>
      <c r="M20" s="321" t="str">
        <f t="shared" si="0"/>
        <v/>
      </c>
      <c r="N20" s="321" t="str">
        <f t="shared" si="17"/>
        <v/>
      </c>
      <c r="O20" s="321" t="str">
        <f t="shared" si="12"/>
        <v/>
      </c>
      <c r="P20" s="326" t="str">
        <f t="shared" si="2"/>
        <v/>
      </c>
      <c r="Q20" s="12" t="str">
        <f t="shared" si="3"/>
        <v/>
      </c>
      <c r="R20" s="12" t="str">
        <f t="shared" si="4"/>
        <v/>
      </c>
      <c r="S20" s="12" t="str">
        <f t="shared" si="5"/>
        <v/>
      </c>
      <c r="T20" s="12" t="str">
        <f t="shared" si="6"/>
        <v/>
      </c>
      <c r="V20" s="325">
        <v>16</v>
      </c>
      <c r="W20" t="str">
        <f t="shared" si="7"/>
        <v/>
      </c>
      <c r="X20" s="336" t="str">
        <f t="shared" si="8"/>
        <v/>
      </c>
      <c r="Y20" s="336" t="str">
        <f t="shared" si="9"/>
        <v/>
      </c>
      <c r="Z20" s="336" t="str">
        <f t="shared" si="10"/>
        <v/>
      </c>
      <c r="AA20" s="336" t="str">
        <f t="shared" si="11"/>
        <v/>
      </c>
    </row>
    <row r="21" spans="2:27">
      <c r="B21" s="332"/>
      <c r="C21" s="321">
        <v>17</v>
      </c>
      <c r="D21" s="11"/>
      <c r="E21" s="12"/>
      <c r="F21" s="12"/>
      <c r="G21" s="19"/>
      <c r="H21" s="26"/>
      <c r="J21" s="335">
        <v>17</v>
      </c>
      <c r="K21" s="323" t="str">
        <f>IF(B21="","",COUNTA($B$5:B21))</f>
        <v/>
      </c>
      <c r="L21" s="321">
        <f>IF(B21="◯","",$L$4+C21-COUNTA($B$5:B21))</f>
        <v>17</v>
      </c>
      <c r="M21" s="321" t="str">
        <f t="shared" si="0"/>
        <v/>
      </c>
      <c r="N21" s="321" t="str">
        <f t="shared" si="17"/>
        <v/>
      </c>
      <c r="O21" s="321" t="str">
        <f t="shared" si="12"/>
        <v/>
      </c>
      <c r="P21" s="326" t="str">
        <f t="shared" si="2"/>
        <v/>
      </c>
      <c r="Q21" s="12" t="str">
        <f t="shared" si="3"/>
        <v/>
      </c>
      <c r="R21" s="12" t="str">
        <f t="shared" si="4"/>
        <v/>
      </c>
      <c r="S21" s="12" t="str">
        <f t="shared" si="5"/>
        <v/>
      </c>
      <c r="T21" s="12" t="str">
        <f t="shared" si="6"/>
        <v/>
      </c>
      <c r="V21" s="325">
        <v>17</v>
      </c>
      <c r="W21" t="str">
        <f t="shared" si="7"/>
        <v/>
      </c>
      <c r="X21" s="336" t="str">
        <f t="shared" si="8"/>
        <v/>
      </c>
      <c r="Y21" s="336" t="str">
        <f t="shared" si="9"/>
        <v/>
      </c>
      <c r="Z21" s="336" t="str">
        <f t="shared" si="10"/>
        <v/>
      </c>
      <c r="AA21" s="336" t="str">
        <f t="shared" si="11"/>
        <v/>
      </c>
    </row>
    <row r="22" spans="2:27">
      <c r="B22" s="332"/>
      <c r="C22" s="321">
        <v>18</v>
      </c>
      <c r="D22" s="11"/>
      <c r="E22" s="12"/>
      <c r="F22" s="12"/>
      <c r="G22" s="19"/>
      <c r="H22" s="26"/>
      <c r="J22" s="335">
        <v>18</v>
      </c>
      <c r="K22" s="323" t="str">
        <f>IF(B22="","",COUNTA($B$5:B22))</f>
        <v/>
      </c>
      <c r="L22" s="321">
        <f>IF(B22="◯","",$L$4+C22-COUNTA($B$5:B22))</f>
        <v>18</v>
      </c>
      <c r="M22" s="321" t="str">
        <f t="shared" si="0"/>
        <v/>
      </c>
      <c r="N22" s="321" t="str">
        <f t="shared" si="17"/>
        <v/>
      </c>
      <c r="O22" s="321" t="str">
        <f t="shared" si="12"/>
        <v/>
      </c>
      <c r="P22" s="326" t="str">
        <f t="shared" si="2"/>
        <v/>
      </c>
      <c r="Q22" s="12" t="str">
        <f t="shared" si="3"/>
        <v/>
      </c>
      <c r="R22" s="12" t="str">
        <f t="shared" si="4"/>
        <v/>
      </c>
      <c r="S22" s="12" t="str">
        <f t="shared" si="5"/>
        <v/>
      </c>
      <c r="T22" s="12" t="str">
        <f t="shared" si="6"/>
        <v/>
      </c>
      <c r="V22" s="325">
        <v>18</v>
      </c>
      <c r="W22" t="str">
        <f t="shared" si="7"/>
        <v/>
      </c>
      <c r="X22" s="336" t="str">
        <f t="shared" si="8"/>
        <v/>
      </c>
      <c r="Y22" s="336" t="str">
        <f t="shared" si="9"/>
        <v/>
      </c>
      <c r="Z22" s="336" t="str">
        <f t="shared" si="10"/>
        <v/>
      </c>
      <c r="AA22" s="336" t="str">
        <f t="shared" si="11"/>
        <v/>
      </c>
    </row>
    <row r="23" spans="2:27">
      <c r="B23" s="332"/>
      <c r="C23" s="321">
        <v>19</v>
      </c>
      <c r="D23" s="11"/>
      <c r="E23" s="12"/>
      <c r="F23" s="12"/>
      <c r="G23" s="19"/>
      <c r="H23" s="26"/>
      <c r="J23" s="335">
        <v>19</v>
      </c>
      <c r="K23" s="323" t="str">
        <f>IF(B23="","",COUNTA($B$5:B23))</f>
        <v/>
      </c>
      <c r="L23" s="321">
        <f>IF(B23="◯","",$L$4+C23-COUNTA($B$5:B23))</f>
        <v>19</v>
      </c>
      <c r="M23" s="321" t="str">
        <f t="shared" si="0"/>
        <v/>
      </c>
      <c r="N23" s="321" t="str">
        <f t="shared" si="17"/>
        <v/>
      </c>
      <c r="O23" s="321" t="str">
        <f t="shared" si="12"/>
        <v/>
      </c>
      <c r="P23" s="326" t="str">
        <f t="shared" si="2"/>
        <v/>
      </c>
      <c r="Q23" s="12" t="str">
        <f t="shared" si="3"/>
        <v/>
      </c>
      <c r="R23" s="12" t="str">
        <f t="shared" si="4"/>
        <v/>
      </c>
      <c r="S23" s="12" t="str">
        <f t="shared" si="5"/>
        <v/>
      </c>
      <c r="T23" s="12" t="str">
        <f t="shared" si="6"/>
        <v/>
      </c>
      <c r="V23" s="325">
        <v>19</v>
      </c>
      <c r="W23" t="str">
        <f t="shared" si="7"/>
        <v/>
      </c>
      <c r="X23" s="336" t="str">
        <f t="shared" si="8"/>
        <v/>
      </c>
      <c r="Y23" s="336" t="str">
        <f t="shared" si="9"/>
        <v/>
      </c>
      <c r="Z23" s="336" t="str">
        <f t="shared" si="10"/>
        <v/>
      </c>
      <c r="AA23" s="336" t="str">
        <f t="shared" si="11"/>
        <v/>
      </c>
    </row>
    <row r="24" spans="2:27">
      <c r="B24" s="332"/>
      <c r="C24" s="321">
        <v>20</v>
      </c>
      <c r="D24" s="11"/>
      <c r="E24" s="12"/>
      <c r="F24" s="12"/>
      <c r="G24" s="19"/>
      <c r="H24" s="26"/>
      <c r="J24" s="335">
        <v>20</v>
      </c>
      <c r="K24" s="323" t="str">
        <f>IF(B24="","",COUNTA($B$5:B24))</f>
        <v/>
      </c>
      <c r="L24" s="321">
        <f>IF(B24="◯","",$L$4+C24-COUNTA($B$5:B24))</f>
        <v>20</v>
      </c>
      <c r="M24" s="321" t="str">
        <f t="shared" si="0"/>
        <v/>
      </c>
      <c r="N24" s="321" t="str">
        <f t="shared" si="17"/>
        <v/>
      </c>
      <c r="O24" s="321" t="str">
        <f t="shared" si="12"/>
        <v/>
      </c>
      <c r="P24" s="326" t="str">
        <f t="shared" si="2"/>
        <v/>
      </c>
      <c r="Q24" s="12" t="str">
        <f t="shared" si="3"/>
        <v/>
      </c>
      <c r="R24" s="12" t="str">
        <f t="shared" si="4"/>
        <v/>
      </c>
      <c r="S24" s="12" t="str">
        <f t="shared" si="5"/>
        <v/>
      </c>
      <c r="T24" s="12" t="str">
        <f t="shared" si="6"/>
        <v/>
      </c>
      <c r="V24" s="325">
        <v>20</v>
      </c>
      <c r="W24" t="str">
        <f t="shared" si="7"/>
        <v/>
      </c>
      <c r="X24" s="336" t="str">
        <f t="shared" si="8"/>
        <v/>
      </c>
      <c r="Y24" s="336" t="str">
        <f t="shared" si="9"/>
        <v/>
      </c>
      <c r="Z24" s="336" t="str">
        <f t="shared" si="10"/>
        <v/>
      </c>
      <c r="AA24" s="336" t="str">
        <f t="shared" si="11"/>
        <v/>
      </c>
    </row>
    <row r="25" spans="2:27">
      <c r="B25" s="332"/>
      <c r="C25" s="321">
        <v>21</v>
      </c>
      <c r="D25" s="11"/>
      <c r="E25" s="12"/>
      <c r="F25" s="12"/>
      <c r="G25" s="19"/>
      <c r="H25" s="26"/>
      <c r="J25" s="335">
        <v>21</v>
      </c>
      <c r="K25" s="323" t="str">
        <f>IF(B25="","",COUNTA($B$5:B25))</f>
        <v/>
      </c>
      <c r="L25" s="321">
        <f>IF(B25="◯","",$L$4+C25-COUNTA($B$5:B25))</f>
        <v>21</v>
      </c>
      <c r="M25" s="321" t="str">
        <f t="shared" si="0"/>
        <v/>
      </c>
      <c r="N25" s="321" t="str">
        <f t="shared" si="17"/>
        <v/>
      </c>
      <c r="O25" s="321" t="str">
        <f t="shared" si="12"/>
        <v/>
      </c>
      <c r="P25" s="326" t="str">
        <f t="shared" si="2"/>
        <v/>
      </c>
      <c r="Q25" s="12" t="str">
        <f t="shared" si="3"/>
        <v/>
      </c>
      <c r="R25" s="12" t="str">
        <f t="shared" si="4"/>
        <v/>
      </c>
      <c r="S25" s="12" t="str">
        <f t="shared" si="5"/>
        <v/>
      </c>
      <c r="T25" s="12" t="str">
        <f t="shared" si="6"/>
        <v/>
      </c>
      <c r="V25" s="325">
        <v>21</v>
      </c>
      <c r="W25" t="str">
        <f t="shared" si="7"/>
        <v/>
      </c>
      <c r="X25" s="336" t="str">
        <f t="shared" si="8"/>
        <v/>
      </c>
      <c r="Y25" s="336" t="str">
        <f t="shared" si="9"/>
        <v/>
      </c>
      <c r="Z25" s="336" t="str">
        <f t="shared" si="10"/>
        <v/>
      </c>
      <c r="AA25" s="336" t="str">
        <f t="shared" si="11"/>
        <v/>
      </c>
    </row>
    <row r="26" spans="2:27">
      <c r="B26" s="332"/>
      <c r="C26" s="321">
        <v>22</v>
      </c>
      <c r="D26" s="11"/>
      <c r="E26" s="12"/>
      <c r="F26" s="12"/>
      <c r="G26" s="19"/>
      <c r="H26" s="26"/>
      <c r="J26" s="335">
        <v>22</v>
      </c>
      <c r="K26" s="323" t="str">
        <f>IF(B26="","",COUNTA($B$5:B26))</f>
        <v/>
      </c>
      <c r="L26" s="321">
        <f>IF(B26="◯","",$L$4+C26-COUNTA($B$5:B26))</f>
        <v>22</v>
      </c>
      <c r="M26" s="321" t="str">
        <f t="shared" si="0"/>
        <v/>
      </c>
      <c r="N26" s="321" t="str">
        <f t="shared" si="17"/>
        <v/>
      </c>
      <c r="O26" s="321" t="str">
        <f t="shared" si="12"/>
        <v/>
      </c>
      <c r="P26" s="326" t="str">
        <f t="shared" si="2"/>
        <v/>
      </c>
      <c r="Q26" s="12" t="str">
        <f t="shared" si="3"/>
        <v/>
      </c>
      <c r="R26" s="12" t="str">
        <f t="shared" si="4"/>
        <v/>
      </c>
      <c r="S26" s="12" t="str">
        <f t="shared" si="5"/>
        <v/>
      </c>
      <c r="T26" s="12" t="str">
        <f t="shared" si="6"/>
        <v/>
      </c>
      <c r="V26" s="325">
        <v>22</v>
      </c>
      <c r="W26" t="str">
        <f t="shared" si="7"/>
        <v/>
      </c>
      <c r="X26" s="336" t="str">
        <f t="shared" si="8"/>
        <v/>
      </c>
      <c r="Y26" s="336" t="str">
        <f t="shared" si="9"/>
        <v/>
      </c>
      <c r="Z26" s="336" t="str">
        <f t="shared" si="10"/>
        <v/>
      </c>
      <c r="AA26" s="336" t="str">
        <f t="shared" si="11"/>
        <v/>
      </c>
    </row>
    <row r="27" spans="2:27">
      <c r="B27" s="332"/>
      <c r="C27" s="321">
        <v>23</v>
      </c>
      <c r="D27" s="11"/>
      <c r="E27" s="12"/>
      <c r="F27" s="12"/>
      <c r="G27" s="19"/>
      <c r="H27" s="26"/>
      <c r="J27" s="335">
        <v>23</v>
      </c>
      <c r="K27" s="323" t="str">
        <f>IF(B27="","",COUNTA($B$5:B27))</f>
        <v/>
      </c>
      <c r="L27" s="321">
        <f>IF(B27="◯","",$L$4+C27-COUNTA($B$5:B27))</f>
        <v>23</v>
      </c>
      <c r="M27" s="321" t="str">
        <f t="shared" si="0"/>
        <v/>
      </c>
      <c r="N27" s="321" t="str">
        <f t="shared" si="17"/>
        <v/>
      </c>
      <c r="O27" s="321" t="str">
        <f t="shared" si="12"/>
        <v/>
      </c>
      <c r="P27" s="326" t="str">
        <f t="shared" si="2"/>
        <v/>
      </c>
      <c r="Q27" s="12" t="str">
        <f t="shared" si="3"/>
        <v/>
      </c>
      <c r="R27" s="12" t="str">
        <f t="shared" si="4"/>
        <v/>
      </c>
      <c r="S27" s="12" t="str">
        <f t="shared" si="5"/>
        <v/>
      </c>
      <c r="T27" s="12" t="str">
        <f t="shared" si="6"/>
        <v/>
      </c>
      <c r="V27" s="325">
        <v>23</v>
      </c>
      <c r="W27" t="str">
        <f t="shared" si="7"/>
        <v/>
      </c>
      <c r="X27" s="336" t="str">
        <f t="shared" si="8"/>
        <v/>
      </c>
      <c r="Y27" s="336" t="str">
        <f t="shared" si="9"/>
        <v/>
      </c>
      <c r="Z27" s="336" t="str">
        <f t="shared" si="10"/>
        <v/>
      </c>
      <c r="AA27" s="336" t="str">
        <f t="shared" si="11"/>
        <v/>
      </c>
    </row>
    <row r="28" spans="2:27">
      <c r="B28" s="332"/>
      <c r="C28" s="321">
        <v>24</v>
      </c>
      <c r="D28" s="11"/>
      <c r="E28" s="12"/>
      <c r="F28" s="12"/>
      <c r="G28" s="19"/>
      <c r="H28" s="26"/>
      <c r="J28" s="335">
        <v>24</v>
      </c>
      <c r="K28" s="323" t="str">
        <f>IF(B28="","",COUNTA($B$5:B28))</f>
        <v/>
      </c>
      <c r="L28" s="321">
        <f>IF(B28="◯","",$L$4+C28-COUNTA($B$5:B28))</f>
        <v>24</v>
      </c>
      <c r="M28" s="321" t="str">
        <f t="shared" si="0"/>
        <v/>
      </c>
      <c r="N28" s="321" t="str">
        <f t="shared" si="17"/>
        <v/>
      </c>
      <c r="O28" s="321" t="str">
        <f t="shared" si="12"/>
        <v/>
      </c>
      <c r="P28" s="326" t="str">
        <f t="shared" si="2"/>
        <v/>
      </c>
      <c r="Q28" s="12" t="str">
        <f t="shared" si="3"/>
        <v/>
      </c>
      <c r="R28" s="12" t="str">
        <f t="shared" si="4"/>
        <v/>
      </c>
      <c r="S28" s="12" t="str">
        <f t="shared" si="5"/>
        <v/>
      </c>
      <c r="T28" s="12" t="str">
        <f t="shared" si="6"/>
        <v/>
      </c>
      <c r="V28" s="325">
        <v>24</v>
      </c>
      <c r="W28" t="str">
        <f t="shared" si="7"/>
        <v/>
      </c>
      <c r="X28" s="336" t="str">
        <f t="shared" si="8"/>
        <v/>
      </c>
      <c r="Y28" s="336" t="str">
        <f t="shared" si="9"/>
        <v/>
      </c>
      <c r="Z28" s="336" t="str">
        <f t="shared" si="10"/>
        <v/>
      </c>
      <c r="AA28" s="336" t="str">
        <f t="shared" si="11"/>
        <v/>
      </c>
    </row>
    <row r="29" spans="2:27">
      <c r="B29" s="332"/>
      <c r="C29" s="321">
        <v>25</v>
      </c>
      <c r="D29" s="11"/>
      <c r="E29" s="12"/>
      <c r="F29" s="12"/>
      <c r="G29" s="19"/>
      <c r="H29" s="26"/>
      <c r="J29" s="335">
        <v>25</v>
      </c>
      <c r="K29" s="323" t="str">
        <f>IF(B29="","",COUNTA($B$5:B29))</f>
        <v/>
      </c>
      <c r="L29" s="321">
        <f>IF(B29="◯","",$L$4+C29-COUNTA($B$5:B29))</f>
        <v>25</v>
      </c>
      <c r="M29" s="321" t="str">
        <f t="shared" si="0"/>
        <v/>
      </c>
      <c r="N29" s="321" t="str">
        <f t="shared" si="17"/>
        <v/>
      </c>
      <c r="O29" s="321" t="str">
        <f t="shared" si="12"/>
        <v/>
      </c>
      <c r="P29" s="326" t="str">
        <f t="shared" si="2"/>
        <v/>
      </c>
      <c r="Q29" s="12" t="str">
        <f t="shared" si="3"/>
        <v/>
      </c>
      <c r="R29" s="12" t="str">
        <f t="shared" si="4"/>
        <v/>
      </c>
      <c r="S29" s="12" t="str">
        <f t="shared" si="5"/>
        <v/>
      </c>
      <c r="T29" s="12" t="str">
        <f t="shared" si="6"/>
        <v/>
      </c>
      <c r="V29" s="325">
        <v>25</v>
      </c>
      <c r="W29" t="str">
        <f t="shared" si="7"/>
        <v/>
      </c>
      <c r="X29" s="336" t="str">
        <f t="shared" si="8"/>
        <v/>
      </c>
      <c r="Y29" s="336" t="str">
        <f t="shared" si="9"/>
        <v/>
      </c>
      <c r="Z29" s="336" t="str">
        <f t="shared" si="10"/>
        <v/>
      </c>
      <c r="AA29" s="336" t="str">
        <f t="shared" si="11"/>
        <v/>
      </c>
    </row>
    <row r="30" spans="2:27">
      <c r="B30" s="332"/>
      <c r="C30" s="321">
        <v>26</v>
      </c>
      <c r="D30" s="11"/>
      <c r="E30" s="12"/>
      <c r="F30" s="12"/>
      <c r="G30" s="19"/>
      <c r="H30" s="26"/>
      <c r="J30" s="335">
        <v>26</v>
      </c>
      <c r="K30" s="323" t="str">
        <f>IF(B30="","",COUNTA($B$5:B30))</f>
        <v/>
      </c>
      <c r="L30" s="321">
        <f>IF(B30="◯","",$L$4+C30-COUNTA($B$5:B30))</f>
        <v>26</v>
      </c>
      <c r="M30" s="321" t="str">
        <f t="shared" si="0"/>
        <v/>
      </c>
      <c r="N30" s="321" t="str">
        <f t="shared" si="17"/>
        <v/>
      </c>
      <c r="O30" s="321" t="str">
        <f t="shared" si="12"/>
        <v/>
      </c>
      <c r="P30" s="326" t="str">
        <f t="shared" si="2"/>
        <v/>
      </c>
      <c r="Q30" s="12" t="str">
        <f t="shared" si="3"/>
        <v/>
      </c>
      <c r="R30" s="12" t="str">
        <f t="shared" si="4"/>
        <v/>
      </c>
      <c r="S30" s="12" t="str">
        <f t="shared" si="5"/>
        <v/>
      </c>
      <c r="T30" s="12" t="str">
        <f t="shared" si="6"/>
        <v/>
      </c>
      <c r="V30" s="325">
        <v>26</v>
      </c>
      <c r="W30" t="str">
        <f t="shared" si="7"/>
        <v/>
      </c>
      <c r="X30" s="336" t="str">
        <f t="shared" si="8"/>
        <v/>
      </c>
      <c r="Y30" s="336" t="str">
        <f t="shared" si="9"/>
        <v/>
      </c>
      <c r="Z30" s="336" t="str">
        <f t="shared" si="10"/>
        <v/>
      </c>
      <c r="AA30" s="336" t="str">
        <f t="shared" si="11"/>
        <v/>
      </c>
    </row>
    <row r="31" spans="2:27">
      <c r="B31" s="332"/>
      <c r="C31" s="321">
        <v>27</v>
      </c>
      <c r="D31" s="11"/>
      <c r="E31" s="12"/>
      <c r="F31" s="12"/>
      <c r="G31" s="19"/>
      <c r="H31" s="26"/>
      <c r="J31" s="335">
        <v>27</v>
      </c>
      <c r="K31" s="323" t="str">
        <f>IF(B31="","",COUNTA($B$5:B31))</f>
        <v/>
      </c>
      <c r="L31" s="321">
        <f>IF(B31="◯","",$L$4+C31-COUNTA($B$5:B31))</f>
        <v>27</v>
      </c>
      <c r="M31" s="321" t="str">
        <f t="shared" si="0"/>
        <v/>
      </c>
      <c r="N31" s="321" t="str">
        <f t="shared" si="17"/>
        <v/>
      </c>
      <c r="O31" s="321" t="str">
        <f t="shared" si="12"/>
        <v/>
      </c>
      <c r="P31" s="326" t="str">
        <f t="shared" si="2"/>
        <v/>
      </c>
      <c r="Q31" s="12" t="str">
        <f t="shared" si="3"/>
        <v/>
      </c>
      <c r="R31" s="12" t="str">
        <f t="shared" si="4"/>
        <v/>
      </c>
      <c r="S31" s="12" t="str">
        <f t="shared" si="5"/>
        <v/>
      </c>
      <c r="T31" s="12" t="str">
        <f t="shared" si="6"/>
        <v/>
      </c>
      <c r="V31" s="325">
        <v>27</v>
      </c>
      <c r="W31" t="str">
        <f t="shared" si="7"/>
        <v/>
      </c>
      <c r="X31" s="336" t="str">
        <f t="shared" si="8"/>
        <v/>
      </c>
      <c r="Y31" s="336" t="str">
        <f t="shared" si="9"/>
        <v/>
      </c>
      <c r="Z31" s="336" t="str">
        <f t="shared" si="10"/>
        <v/>
      </c>
      <c r="AA31" s="336" t="str">
        <f t="shared" si="11"/>
        <v/>
      </c>
    </row>
    <row r="32" spans="2:27">
      <c r="B32" s="332"/>
      <c r="C32" s="321">
        <v>28</v>
      </c>
      <c r="D32" s="11"/>
      <c r="E32" s="12"/>
      <c r="F32" s="12"/>
      <c r="G32" s="19"/>
      <c r="H32" s="26"/>
      <c r="J32" s="335">
        <v>28</v>
      </c>
      <c r="K32" s="323" t="str">
        <f>IF(B32="","",COUNTA($B$5:B32))</f>
        <v/>
      </c>
      <c r="L32" s="321">
        <f>IF(B32="◯","",$L$4+C32-COUNTA($B$5:B32))</f>
        <v>28</v>
      </c>
      <c r="M32" s="321" t="str">
        <f t="shared" si="0"/>
        <v/>
      </c>
      <c r="N32" s="321" t="str">
        <f t="shared" si="17"/>
        <v/>
      </c>
      <c r="O32" s="321" t="str">
        <f t="shared" si="12"/>
        <v/>
      </c>
      <c r="P32" s="326" t="str">
        <f t="shared" si="2"/>
        <v/>
      </c>
      <c r="Q32" s="12" t="str">
        <f t="shared" si="3"/>
        <v/>
      </c>
      <c r="R32" s="12" t="str">
        <f t="shared" si="4"/>
        <v/>
      </c>
      <c r="S32" s="12" t="str">
        <f t="shared" si="5"/>
        <v/>
      </c>
      <c r="T32" s="12" t="str">
        <f t="shared" si="6"/>
        <v/>
      </c>
      <c r="V32" s="325">
        <v>28</v>
      </c>
      <c r="W32" t="str">
        <f t="shared" si="7"/>
        <v/>
      </c>
      <c r="X32" s="336" t="str">
        <f t="shared" si="8"/>
        <v/>
      </c>
      <c r="Y32" s="336" t="str">
        <f t="shared" si="9"/>
        <v/>
      </c>
      <c r="Z32" s="336" t="str">
        <f t="shared" si="10"/>
        <v/>
      </c>
      <c r="AA32" s="336" t="str">
        <f t="shared" si="11"/>
        <v/>
      </c>
    </row>
    <row r="33" spans="2:27">
      <c r="B33" s="332"/>
      <c r="C33" s="321">
        <v>29</v>
      </c>
      <c r="D33" s="11"/>
      <c r="E33" s="12"/>
      <c r="F33" s="12"/>
      <c r="G33" s="19"/>
      <c r="H33" s="26"/>
      <c r="J33" s="335">
        <v>29</v>
      </c>
      <c r="K33" s="323"/>
      <c r="L33" s="321">
        <f>IF(B33="◯","",$L$4+C33-COUNTA($B$5:B33))</f>
        <v>29</v>
      </c>
      <c r="M33" s="321" t="str">
        <f t="shared" si="0"/>
        <v/>
      </c>
      <c r="N33" s="321" t="str">
        <f t="shared" si="17"/>
        <v/>
      </c>
      <c r="O33" s="321" t="str">
        <f t="shared" si="12"/>
        <v/>
      </c>
      <c r="P33" s="326" t="str">
        <f t="shared" si="2"/>
        <v/>
      </c>
      <c r="Q33" s="12" t="str">
        <f t="shared" si="3"/>
        <v/>
      </c>
      <c r="R33" s="12" t="str">
        <f t="shared" si="4"/>
        <v/>
      </c>
      <c r="S33" s="12" t="str">
        <f t="shared" si="5"/>
        <v/>
      </c>
      <c r="T33" s="12" t="str">
        <f t="shared" si="6"/>
        <v/>
      </c>
      <c r="V33" s="325">
        <v>29</v>
      </c>
      <c r="W33" t="str">
        <f t="shared" si="7"/>
        <v/>
      </c>
      <c r="X33" s="336" t="str">
        <f t="shared" si="8"/>
        <v/>
      </c>
      <c r="Y33" s="336" t="str">
        <f t="shared" si="9"/>
        <v/>
      </c>
      <c r="Z33" s="336" t="str">
        <f t="shared" si="10"/>
        <v/>
      </c>
      <c r="AA33" s="336" t="str">
        <f t="shared" si="11"/>
        <v/>
      </c>
    </row>
    <row r="34" spans="2:27" ht="19.5" thickBot="1">
      <c r="B34" s="333"/>
      <c r="C34" s="322">
        <v>30</v>
      </c>
      <c r="D34" s="30"/>
      <c r="E34" s="317"/>
      <c r="F34" s="317"/>
      <c r="G34" s="318"/>
      <c r="H34" s="319"/>
      <c r="J34" s="335">
        <v>30</v>
      </c>
      <c r="K34" s="323"/>
      <c r="L34" s="321">
        <f>IF(B34="◯","",$L$4+C34-COUNTA($B$5:B34))</f>
        <v>30</v>
      </c>
      <c r="M34" s="321" t="str">
        <f t="shared" si="0"/>
        <v/>
      </c>
      <c r="N34" s="321" t="str">
        <f t="shared" si="17"/>
        <v/>
      </c>
      <c r="O34" s="321" t="str">
        <f t="shared" si="12"/>
        <v/>
      </c>
      <c r="P34" s="326" t="str">
        <f t="shared" si="2"/>
        <v/>
      </c>
      <c r="Q34" s="12" t="str">
        <f t="shared" si="3"/>
        <v/>
      </c>
      <c r="R34" s="12" t="str">
        <f t="shared" si="4"/>
        <v/>
      </c>
      <c r="S34" s="12" t="str">
        <f t="shared" si="5"/>
        <v/>
      </c>
      <c r="T34" s="12" t="str">
        <f t="shared" si="6"/>
        <v/>
      </c>
      <c r="V34" s="325">
        <v>30</v>
      </c>
      <c r="W34" t="str">
        <f t="shared" si="7"/>
        <v/>
      </c>
      <c r="X34" s="336" t="str">
        <f t="shared" si="8"/>
        <v/>
      </c>
      <c r="Y34" s="336" t="str">
        <f t="shared" si="9"/>
        <v/>
      </c>
      <c r="Z34" s="336" t="str">
        <f t="shared" si="10"/>
        <v/>
      </c>
      <c r="AA34" s="336" t="str">
        <f t="shared" si="11"/>
        <v/>
      </c>
    </row>
    <row r="35" spans="2:27">
      <c r="B35" s="331">
        <f>COUNTA(B5:B34)</f>
        <v>6</v>
      </c>
      <c r="C35" s="331"/>
      <c r="D35" s="331">
        <f>COUNTA(D5:D34)</f>
        <v>8</v>
      </c>
      <c r="E35" s="331"/>
      <c r="F35" s="331"/>
      <c r="G35" s="331"/>
      <c r="H35" s="331"/>
      <c r="K35" s="334">
        <f>6-B35+D35</f>
        <v>8</v>
      </c>
    </row>
  </sheetData>
  <sheetProtection sheet="1" objects="1" scenarios="1"/>
  <mergeCells count="15">
    <mergeCell ref="C1:H1"/>
    <mergeCell ref="O3:O4"/>
    <mergeCell ref="P3:P4"/>
    <mergeCell ref="Q3:Q4"/>
    <mergeCell ref="W3:AA3"/>
    <mergeCell ref="L2:T2"/>
    <mergeCell ref="G3:H3"/>
    <mergeCell ref="S3:S4"/>
    <mergeCell ref="T3:T4"/>
    <mergeCell ref="B3:B4"/>
    <mergeCell ref="C2:F2"/>
    <mergeCell ref="G2:H2"/>
    <mergeCell ref="C3:F3"/>
    <mergeCell ref="R3:R4"/>
    <mergeCell ref="N3:N4"/>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2881-C06C-4007-8AE9-CDEEBA7696B4}">
  <sheetPr>
    <tabColor theme="9" tint="0.79998168889431442"/>
  </sheetPr>
  <dimension ref="A1:O40"/>
  <sheetViews>
    <sheetView topLeftCell="A4" zoomScale="72" zoomScaleNormal="72" workbookViewId="0">
      <selection activeCell="D11" sqref="D11"/>
    </sheetView>
  </sheetViews>
  <sheetFormatPr defaultColWidth="8.75" defaultRowHeight="14.25"/>
  <cols>
    <col min="1" max="1" width="2.25" style="2" customWidth="1"/>
    <col min="2" max="2" width="5.75" style="2" customWidth="1"/>
    <col min="3" max="3" width="10.625" style="2" customWidth="1"/>
    <col min="4" max="4" width="14" style="2" customWidth="1"/>
    <col min="5" max="8" width="21.25" style="2" customWidth="1"/>
    <col min="9" max="9" width="4.25" style="2" customWidth="1"/>
    <col min="10" max="10" width="7.25" style="2" customWidth="1"/>
    <col min="11" max="11" width="4.75" style="2" customWidth="1"/>
    <col min="12" max="12" width="4.25" style="2" customWidth="1"/>
    <col min="13" max="13" width="8" style="2" customWidth="1"/>
    <col min="14" max="14" width="19.75" style="2" customWidth="1"/>
    <col min="15" max="15" width="18.75" style="2" customWidth="1"/>
    <col min="16" max="16384" width="8.75" style="2"/>
  </cols>
  <sheetData>
    <row r="1" spans="1:15" ht="24.6" customHeight="1">
      <c r="A1" s="1"/>
      <c r="B1" s="1"/>
      <c r="C1" s="1"/>
      <c r="D1" s="1"/>
      <c r="E1" s="1"/>
      <c r="F1" s="1"/>
      <c r="G1" s="1"/>
      <c r="H1" s="1"/>
      <c r="I1" s="1"/>
    </row>
    <row r="2" spans="1:15" ht="37.15" customHeight="1" thickBot="1">
      <c r="A2" s="1"/>
      <c r="B2" s="1"/>
      <c r="C2" s="339" t="s">
        <v>112</v>
      </c>
      <c r="D2" s="339"/>
      <c r="E2" s="339"/>
      <c r="F2" s="339"/>
      <c r="G2" s="356" t="s">
        <v>1</v>
      </c>
      <c r="H2" s="356"/>
      <c r="I2" s="3"/>
      <c r="J2" s="357"/>
      <c r="K2" s="357"/>
      <c r="L2" s="357"/>
      <c r="M2" s="357"/>
      <c r="N2" s="357"/>
      <c r="O2" s="357"/>
    </row>
    <row r="3" spans="1:15" ht="37.15" customHeight="1">
      <c r="A3" s="1"/>
      <c r="B3" s="358" t="s">
        <v>2</v>
      </c>
      <c r="C3" s="359"/>
      <c r="D3" s="359"/>
      <c r="E3" s="359"/>
      <c r="F3" s="359"/>
      <c r="G3" s="359"/>
      <c r="H3" s="360"/>
      <c r="I3" s="216"/>
      <c r="J3" s="6"/>
      <c r="K3" s="6"/>
      <c r="L3" s="6"/>
      <c r="M3" s="6"/>
      <c r="N3" s="6"/>
      <c r="O3" s="6"/>
    </row>
    <row r="4" spans="1:15" ht="28.15" customHeight="1">
      <c r="A4" s="1"/>
      <c r="B4" s="361" t="s">
        <v>3</v>
      </c>
      <c r="C4" s="362"/>
      <c r="D4" s="362"/>
      <c r="E4" s="362"/>
      <c r="F4" s="362"/>
      <c r="G4" s="363" t="s">
        <v>4</v>
      </c>
      <c r="H4" s="364"/>
      <c r="I4" s="217"/>
      <c r="J4" s="357"/>
      <c r="K4" s="357"/>
      <c r="L4" s="357"/>
      <c r="M4" s="357"/>
      <c r="N4" s="365"/>
      <c r="O4" s="365"/>
    </row>
    <row r="5" spans="1:15" ht="34.15" customHeight="1">
      <c r="A5" s="1"/>
      <c r="B5" s="368" t="s">
        <v>5</v>
      </c>
      <c r="C5" s="369"/>
      <c r="D5" s="369"/>
      <c r="E5" s="369"/>
      <c r="F5" s="370"/>
      <c r="G5" s="371" t="s">
        <v>110</v>
      </c>
      <c r="H5" s="372"/>
      <c r="I5" s="216"/>
      <c r="J5" s="6"/>
      <c r="K5" s="6"/>
      <c r="L5" s="6"/>
      <c r="M5" s="6"/>
      <c r="N5" s="9"/>
      <c r="O5" s="9"/>
    </row>
    <row r="6" spans="1:15" ht="36.6" customHeight="1">
      <c r="A6" s="1"/>
      <c r="B6" s="373" t="s">
        <v>6</v>
      </c>
      <c r="C6" s="374"/>
      <c r="D6" s="375"/>
      <c r="E6" s="218" t="s">
        <v>7</v>
      </c>
      <c r="F6" s="219" t="s">
        <v>8</v>
      </c>
      <c r="G6" s="220" t="s">
        <v>9</v>
      </c>
      <c r="H6" s="221" t="s">
        <v>10</v>
      </c>
      <c r="I6" s="7"/>
      <c r="J6" s="9"/>
      <c r="K6" s="9"/>
      <c r="L6" s="9"/>
      <c r="M6" s="9"/>
      <c r="N6" s="9"/>
      <c r="O6" s="9"/>
    </row>
    <row r="7" spans="1:15" ht="21.6" customHeight="1">
      <c r="A7" s="1"/>
      <c r="B7" s="376" t="s">
        <v>11</v>
      </c>
      <c r="C7" s="10">
        <v>1</v>
      </c>
      <c r="D7" s="326" t="str">
        <f>IF(入力画面1!W5="","",入力画面1!W5)</f>
        <v>K136</v>
      </c>
      <c r="E7" s="12">
        <f>IF(入力画面1!X5="","",入力画面1!X5)</f>
        <v>40751.207999999999</v>
      </c>
      <c r="F7" s="12">
        <f>IF(入力画面1!Y5="","",入力画面1!Y5)</f>
        <v>-91907.42</v>
      </c>
      <c r="G7" s="12">
        <f>IF(入力画面1!Z5="","",(入力画面1!Z5))</f>
        <v>40751.440999999999</v>
      </c>
      <c r="H7" s="12">
        <f>IF(入力画面1!AA5="","",入力画面1!AA5)</f>
        <v>-91907.573000000004</v>
      </c>
      <c r="I7" s="13"/>
      <c r="J7" s="14"/>
      <c r="K7" s="15"/>
      <c r="L7" s="15"/>
      <c r="M7" s="16"/>
      <c r="N7" s="15"/>
      <c r="O7" s="15"/>
    </row>
    <row r="8" spans="1:15" ht="21.6" customHeight="1">
      <c r="A8" s="1"/>
      <c r="B8" s="367"/>
      <c r="C8" s="17">
        <v>2</v>
      </c>
      <c r="D8" s="326" t="str">
        <f>IF(入力画面1!W6="","",入力画面1!W6)</f>
        <v>K61</v>
      </c>
      <c r="E8" s="12">
        <f>IF(入力画面1!X6="","",入力画面1!X6)</f>
        <v>40763.1</v>
      </c>
      <c r="F8" s="12">
        <f>IF(入力画面1!Y6="","",入力画面1!Y6)</f>
        <v>-91896.176999999996</v>
      </c>
      <c r="G8" s="12">
        <f>IF(入力画面1!Z6="","",(入力画面1!Z6))</f>
        <v>40763.387000000002</v>
      </c>
      <c r="H8" s="12">
        <f>IF(入力画面1!AA6="","",入力画面1!AA6)</f>
        <v>-91896.063999999998</v>
      </c>
      <c r="I8" s="13"/>
      <c r="J8" s="14"/>
      <c r="K8" s="15"/>
      <c r="L8" s="15"/>
      <c r="M8" s="16"/>
      <c r="N8" s="15"/>
      <c r="O8" s="15"/>
    </row>
    <row r="9" spans="1:15" ht="21.6" customHeight="1">
      <c r="A9" s="1"/>
      <c r="B9" s="367"/>
      <c r="C9" s="17">
        <v>3</v>
      </c>
      <c r="D9" s="326" t="str">
        <f>IF(入力画面1!W7="","",入力画面1!W7)</f>
        <v>K68</v>
      </c>
      <c r="E9" s="12">
        <f>IF(入力画面1!X7="","",入力画面1!X7)</f>
        <v>40746.485999999997</v>
      </c>
      <c r="F9" s="12">
        <f>IF(入力画面1!Y7="","",入力画面1!Y7)</f>
        <v>-91883.832999999999</v>
      </c>
      <c r="G9" s="12">
        <f>IF(入力画面1!Z7="","",(入力画面1!Z7))</f>
        <v>40746.894</v>
      </c>
      <c r="H9" s="12">
        <f>IF(入力画面1!AA7="","",入力画面1!AA7)</f>
        <v>-91883.892000000007</v>
      </c>
      <c r="I9" s="13"/>
      <c r="J9" s="14"/>
      <c r="K9" s="15"/>
      <c r="L9" s="15"/>
      <c r="M9" s="16"/>
      <c r="N9" s="15"/>
      <c r="O9" s="15"/>
    </row>
    <row r="10" spans="1:15" ht="21.6" customHeight="1">
      <c r="A10" s="1"/>
      <c r="B10" s="367"/>
      <c r="C10" s="17">
        <v>4</v>
      </c>
      <c r="D10" s="326" t="str">
        <f>IF(入力画面1!W8="","",入力画面1!W8)</f>
        <v>K62</v>
      </c>
      <c r="E10" s="12">
        <f>IF(入力画面1!X8="","",入力画面1!X8)</f>
        <v>40743.476999999999</v>
      </c>
      <c r="F10" s="12">
        <f>IF(入力画面1!Y8="","",入力画面1!Y8)</f>
        <v>-91881.240999999995</v>
      </c>
      <c r="G10" s="12">
        <f>IF(入力画面1!Z8="","",(入力画面1!Z8))</f>
        <v>40743.688000000002</v>
      </c>
      <c r="H10" s="12">
        <f>IF(入力画面1!AA8="","",入力画面1!AA8)</f>
        <v>-91881.32</v>
      </c>
      <c r="I10" s="13"/>
      <c r="J10" s="14"/>
      <c r="K10" s="15"/>
      <c r="L10" s="15"/>
      <c r="M10" s="16"/>
      <c r="N10" s="15"/>
      <c r="O10" s="15"/>
    </row>
    <row r="11" spans="1:15" ht="21.6" customHeight="1">
      <c r="A11" s="1"/>
      <c r="B11" s="367"/>
      <c r="C11" s="18">
        <v>5</v>
      </c>
      <c r="D11" s="326" t="str">
        <f>IF(入力画面1!W9="","",入力画面1!W9)</f>
        <v>K101</v>
      </c>
      <c r="E11" s="12">
        <f>IF(入力画面1!X9="","",入力画面1!X9)</f>
        <v>40734.370999999999</v>
      </c>
      <c r="F11" s="12">
        <f>IF(入力画面1!Y9="","",入力画面1!Y9)</f>
        <v>-91890.438999999998</v>
      </c>
      <c r="G11" s="12">
        <f>IF(入力画面1!Z9="","",(入力画面1!Z9))</f>
        <v>40734.506000000001</v>
      </c>
      <c r="H11" s="12">
        <f>IF(入力画面1!AA9="","",入力画面1!AA9)</f>
        <v>-91890.554000000004</v>
      </c>
      <c r="I11" s="13"/>
      <c r="J11" s="21"/>
      <c r="K11" s="15"/>
      <c r="L11" s="15"/>
      <c r="M11" s="16"/>
      <c r="N11" s="22"/>
      <c r="O11" s="22"/>
    </row>
    <row r="12" spans="1:15" ht="21.6" customHeight="1">
      <c r="A12" s="1"/>
      <c r="B12" s="367"/>
      <c r="C12" s="23">
        <v>6</v>
      </c>
      <c r="D12" s="326" t="str">
        <f>IF(入力画面1!W10="","",入力画面1!W10)</f>
        <v>K112</v>
      </c>
      <c r="E12" s="12">
        <f>IF(入力画面1!X10="","",入力画面1!X10)</f>
        <v>40741.838000000003</v>
      </c>
      <c r="F12" s="12">
        <f>IF(入力画面1!Y10="","",入力画面1!Y10)</f>
        <v>-91897.357999999993</v>
      </c>
      <c r="G12" s="12">
        <f>IF(入力画面1!Z10="","",(入力画面1!Z10))</f>
        <v>40741.995000000003</v>
      </c>
      <c r="H12" s="12">
        <f>IF(入力画面1!AA10="","",入力画面1!AA10)</f>
        <v>-91897.479000000007</v>
      </c>
      <c r="I12" s="13"/>
      <c r="J12" s="21"/>
      <c r="K12" s="15"/>
      <c r="L12" s="15"/>
      <c r="M12" s="16"/>
      <c r="N12" s="22"/>
      <c r="O12" s="22"/>
    </row>
    <row r="13" spans="1:15" ht="21.6" customHeight="1">
      <c r="A13" s="1"/>
      <c r="B13" s="377" t="s">
        <v>12</v>
      </c>
      <c r="C13" s="378"/>
      <c r="D13" s="379"/>
      <c r="E13" s="385" t="s">
        <v>7</v>
      </c>
      <c r="F13" s="385" t="s">
        <v>8</v>
      </c>
      <c r="G13" s="388" t="s">
        <v>111</v>
      </c>
      <c r="H13" s="389"/>
      <c r="I13" s="13"/>
      <c r="J13" s="21"/>
      <c r="K13" s="15"/>
      <c r="L13" s="15"/>
      <c r="M13" s="16"/>
      <c r="N13" s="22"/>
      <c r="O13" s="22"/>
    </row>
    <row r="14" spans="1:15" ht="21.6" customHeight="1">
      <c r="A14" s="1"/>
      <c r="B14" s="380"/>
      <c r="C14" s="381"/>
      <c r="D14" s="382"/>
      <c r="E14" s="386"/>
      <c r="F14" s="386"/>
      <c r="G14" s="390"/>
      <c r="H14" s="391"/>
      <c r="I14" s="13"/>
      <c r="J14" s="21"/>
      <c r="K14" s="15"/>
      <c r="L14" s="15"/>
      <c r="M14" s="16"/>
      <c r="N14" s="22"/>
      <c r="O14" s="22"/>
    </row>
    <row r="15" spans="1:15" ht="21.6" customHeight="1" thickBot="1">
      <c r="A15" s="1"/>
      <c r="B15" s="380"/>
      <c r="C15" s="383"/>
      <c r="D15" s="384"/>
      <c r="E15" s="387"/>
      <c r="F15" s="387"/>
      <c r="G15" s="392"/>
      <c r="H15" s="393"/>
      <c r="I15" s="13"/>
      <c r="J15" s="21"/>
      <c r="K15" s="15"/>
      <c r="L15" s="15"/>
      <c r="M15" s="16"/>
      <c r="N15" s="22"/>
      <c r="O15" s="22"/>
    </row>
    <row r="16" spans="1:15" ht="21.6" customHeight="1">
      <c r="A16" s="1"/>
      <c r="B16" s="366" t="s">
        <v>13</v>
      </c>
      <c r="C16" s="24">
        <v>1</v>
      </c>
      <c r="D16" s="327" t="str">
        <f>入力画面1!W11</f>
        <v>4-408</v>
      </c>
      <c r="E16" s="328">
        <f>入力画面1!X11</f>
        <v>40770.720000000001</v>
      </c>
      <c r="F16" s="328">
        <f>入力画面1!Y11</f>
        <v>-91899.679000000004</v>
      </c>
      <c r="G16" s="328" t="str">
        <f>入力画面1!Z11</f>
        <v/>
      </c>
      <c r="H16" s="328" t="str">
        <f>入力画面1!AA11</f>
        <v/>
      </c>
      <c r="I16" s="13"/>
      <c r="J16" s="21"/>
      <c r="K16" s="15"/>
      <c r="L16" s="15"/>
      <c r="M16" s="16"/>
      <c r="N16" s="22"/>
      <c r="O16" s="22"/>
    </row>
    <row r="17" spans="1:15" ht="21.6" customHeight="1">
      <c r="A17" s="1"/>
      <c r="B17" s="367"/>
      <c r="C17" s="25">
        <v>2</v>
      </c>
      <c r="D17" s="327" t="str">
        <f>入力画面1!W12</f>
        <v>4-409</v>
      </c>
      <c r="E17" s="328">
        <f>入力画面1!X12</f>
        <v>40751.707999999999</v>
      </c>
      <c r="F17" s="328">
        <f>入力画面1!Y12</f>
        <v>-91890.183999999994</v>
      </c>
      <c r="G17" s="328" t="str">
        <f>入力画面1!Z12</f>
        <v/>
      </c>
      <c r="H17" s="328" t="str">
        <f>入力画面1!AA12</f>
        <v/>
      </c>
      <c r="I17" s="13"/>
      <c r="J17" s="21"/>
      <c r="K17" s="15"/>
      <c r="L17" s="15"/>
      <c r="M17" s="16"/>
      <c r="N17" s="22"/>
      <c r="O17" s="22"/>
    </row>
    <row r="18" spans="1:15" ht="21.6" customHeight="1">
      <c r="A18" s="1"/>
      <c r="B18" s="367"/>
      <c r="C18" s="25">
        <v>3</v>
      </c>
      <c r="D18" s="327" t="str">
        <f>入力画面1!W13</f>
        <v/>
      </c>
      <c r="E18" s="328" t="str">
        <f>入力画面1!X13</f>
        <v/>
      </c>
      <c r="F18" s="328" t="str">
        <f>入力画面1!Y13</f>
        <v/>
      </c>
      <c r="G18" s="328" t="str">
        <f>入力画面1!Z13</f>
        <v/>
      </c>
      <c r="H18" s="328" t="str">
        <f>入力画面1!AA13</f>
        <v/>
      </c>
      <c r="I18" s="13"/>
      <c r="J18" s="21"/>
      <c r="K18" s="15"/>
      <c r="L18" s="15"/>
      <c r="M18" s="16"/>
      <c r="N18" s="22"/>
      <c r="O18" s="22"/>
    </row>
    <row r="19" spans="1:15" ht="21.6" customHeight="1">
      <c r="A19" s="1"/>
      <c r="B19" s="367"/>
      <c r="C19" s="25">
        <v>4</v>
      </c>
      <c r="D19" s="327" t="str">
        <f>入力画面1!W14</f>
        <v/>
      </c>
      <c r="E19" s="328" t="str">
        <f>入力画面1!X14</f>
        <v/>
      </c>
      <c r="F19" s="328" t="str">
        <f>入力画面1!Y14</f>
        <v/>
      </c>
      <c r="G19" s="328" t="str">
        <f>入力画面1!Z14</f>
        <v/>
      </c>
      <c r="H19" s="328" t="str">
        <f>入力画面1!AA14</f>
        <v/>
      </c>
      <c r="I19" s="27"/>
      <c r="J19" s="21"/>
      <c r="K19" s="15"/>
      <c r="L19" s="15"/>
      <c r="M19" s="16"/>
      <c r="N19" s="22"/>
      <c r="O19" s="22"/>
    </row>
    <row r="20" spans="1:15" ht="21.6" customHeight="1">
      <c r="A20" s="1"/>
      <c r="B20" s="367"/>
      <c r="C20" s="25">
        <v>5</v>
      </c>
      <c r="D20" s="327" t="str">
        <f>入力画面1!W15</f>
        <v/>
      </c>
      <c r="E20" s="328" t="str">
        <f>入力画面1!X15</f>
        <v/>
      </c>
      <c r="F20" s="328" t="str">
        <f>入力画面1!Y15</f>
        <v/>
      </c>
      <c r="G20" s="328" t="str">
        <f>入力画面1!Z15</f>
        <v/>
      </c>
      <c r="H20" s="328" t="str">
        <f>入力画面1!AA15</f>
        <v/>
      </c>
      <c r="I20" s="27"/>
      <c r="J20" s="21"/>
      <c r="K20" s="15"/>
      <c r="L20" s="15"/>
      <c r="M20" s="16"/>
      <c r="N20" s="22"/>
      <c r="O20" s="22"/>
    </row>
    <row r="21" spans="1:15" ht="21.6" customHeight="1">
      <c r="A21" s="1"/>
      <c r="B21" s="367"/>
      <c r="C21" s="25">
        <v>6</v>
      </c>
      <c r="D21" s="327" t="str">
        <f>入力画面1!W16</f>
        <v/>
      </c>
      <c r="E21" s="328" t="str">
        <f>入力画面1!X16</f>
        <v/>
      </c>
      <c r="F21" s="328" t="str">
        <f>入力画面1!Y16</f>
        <v/>
      </c>
      <c r="G21" s="328" t="str">
        <f>入力画面1!Z16</f>
        <v/>
      </c>
      <c r="H21" s="328" t="str">
        <f>入力画面1!AA16</f>
        <v/>
      </c>
      <c r="I21" s="27"/>
      <c r="J21" s="21"/>
      <c r="K21" s="15"/>
      <c r="L21" s="15"/>
      <c r="M21" s="16"/>
      <c r="N21" s="22"/>
      <c r="O21" s="22"/>
    </row>
    <row r="22" spans="1:15" ht="21.6" customHeight="1">
      <c r="A22" s="1"/>
      <c r="B22" s="367"/>
      <c r="C22" s="25">
        <v>7</v>
      </c>
      <c r="D22" s="327" t="str">
        <f>入力画面1!W17</f>
        <v/>
      </c>
      <c r="E22" s="328" t="str">
        <f>入力画面1!X17</f>
        <v/>
      </c>
      <c r="F22" s="328" t="str">
        <f>入力画面1!Y17</f>
        <v/>
      </c>
      <c r="G22" s="328" t="str">
        <f>入力画面1!Z17</f>
        <v/>
      </c>
      <c r="H22" s="328" t="str">
        <f>入力画面1!AA17</f>
        <v/>
      </c>
      <c r="I22" s="27"/>
      <c r="J22" s="21"/>
      <c r="K22" s="15"/>
      <c r="L22" s="15"/>
      <c r="M22" s="16"/>
      <c r="N22" s="22"/>
      <c r="O22" s="22"/>
    </row>
    <row r="23" spans="1:15" ht="21.6" customHeight="1">
      <c r="A23" s="1"/>
      <c r="B23" s="367"/>
      <c r="C23" s="25">
        <v>8</v>
      </c>
      <c r="D23" s="327" t="str">
        <f>入力画面1!W18</f>
        <v/>
      </c>
      <c r="E23" s="328" t="str">
        <f>入力画面1!X18</f>
        <v/>
      </c>
      <c r="F23" s="328" t="str">
        <f>入力画面1!Y18</f>
        <v/>
      </c>
      <c r="G23" s="328" t="str">
        <f>入力画面1!Z18</f>
        <v/>
      </c>
      <c r="H23" s="328" t="str">
        <f>入力画面1!AA18</f>
        <v/>
      </c>
      <c r="I23" s="27"/>
      <c r="J23" s="21"/>
      <c r="K23" s="15"/>
      <c r="L23" s="15"/>
      <c r="M23" s="16"/>
      <c r="N23" s="22"/>
      <c r="O23" s="22"/>
    </row>
    <row r="24" spans="1:15" ht="21.6" customHeight="1">
      <c r="A24" s="1"/>
      <c r="B24" s="367"/>
      <c r="C24" s="25">
        <v>9</v>
      </c>
      <c r="D24" s="327" t="str">
        <f>入力画面1!W19</f>
        <v/>
      </c>
      <c r="E24" s="328" t="str">
        <f>入力画面1!X19</f>
        <v/>
      </c>
      <c r="F24" s="328" t="str">
        <f>入力画面1!Y19</f>
        <v/>
      </c>
      <c r="G24" s="328" t="str">
        <f>入力画面1!Z19</f>
        <v/>
      </c>
      <c r="H24" s="328" t="str">
        <f>入力画面1!AA19</f>
        <v/>
      </c>
      <c r="I24" s="27"/>
      <c r="J24" s="21"/>
      <c r="K24" s="15"/>
      <c r="L24" s="15"/>
      <c r="M24" s="16"/>
      <c r="N24" s="22"/>
      <c r="O24" s="22"/>
    </row>
    <row r="25" spans="1:15" ht="21.6" customHeight="1">
      <c r="A25" s="1"/>
      <c r="B25" s="367"/>
      <c r="C25" s="25">
        <v>10</v>
      </c>
      <c r="D25" s="327" t="str">
        <f>入力画面1!W20</f>
        <v/>
      </c>
      <c r="E25" s="328" t="str">
        <f>入力画面1!X20</f>
        <v/>
      </c>
      <c r="F25" s="328" t="str">
        <f>入力画面1!Y20</f>
        <v/>
      </c>
      <c r="G25" s="328" t="str">
        <f>入力画面1!Z20</f>
        <v/>
      </c>
      <c r="H25" s="328" t="str">
        <f>入力画面1!AA20</f>
        <v/>
      </c>
      <c r="I25" s="27"/>
      <c r="J25" s="21"/>
      <c r="K25" s="15"/>
      <c r="L25" s="15"/>
      <c r="M25" s="16"/>
      <c r="N25" s="22"/>
      <c r="O25" s="22"/>
    </row>
    <row r="26" spans="1:15" ht="21.6" customHeight="1">
      <c r="A26" s="1"/>
      <c r="B26" s="367"/>
      <c r="C26" s="25">
        <v>11</v>
      </c>
      <c r="D26" s="327" t="str">
        <f>入力画面1!W21</f>
        <v/>
      </c>
      <c r="E26" s="328" t="str">
        <f>入力画面1!X21</f>
        <v/>
      </c>
      <c r="F26" s="328" t="str">
        <f>入力画面1!Y21</f>
        <v/>
      </c>
      <c r="G26" s="328" t="str">
        <f>入力画面1!Z21</f>
        <v/>
      </c>
      <c r="H26" s="328" t="str">
        <f>入力画面1!AA21</f>
        <v/>
      </c>
      <c r="I26" s="27"/>
      <c r="J26" s="21"/>
      <c r="K26" s="15"/>
      <c r="L26" s="15"/>
      <c r="M26" s="16"/>
      <c r="N26" s="22"/>
      <c r="O26" s="22"/>
    </row>
    <row r="27" spans="1:15" ht="21.6" customHeight="1">
      <c r="A27" s="1"/>
      <c r="B27" s="367"/>
      <c r="C27" s="28">
        <v>12</v>
      </c>
      <c r="D27" s="327" t="str">
        <f>入力画面1!W22</f>
        <v/>
      </c>
      <c r="E27" s="328" t="str">
        <f>入力画面1!X22</f>
        <v/>
      </c>
      <c r="F27" s="328" t="str">
        <f>入力画面1!Y22</f>
        <v/>
      </c>
      <c r="G27" s="328" t="str">
        <f>入力画面1!Z22</f>
        <v/>
      </c>
      <c r="H27" s="328" t="str">
        <f>入力画面1!AA22</f>
        <v/>
      </c>
      <c r="I27" s="27"/>
      <c r="J27" s="21"/>
      <c r="K27" s="15"/>
      <c r="L27" s="15"/>
      <c r="M27" s="16"/>
      <c r="N27" s="22"/>
      <c r="O27" s="22"/>
    </row>
    <row r="28" spans="1:15" ht="21.6" customHeight="1">
      <c r="A28" s="1"/>
      <c r="B28" s="367"/>
      <c r="C28" s="28">
        <v>13</v>
      </c>
      <c r="D28" s="327" t="str">
        <f>入力画面1!W23</f>
        <v/>
      </c>
      <c r="E28" s="328" t="str">
        <f>入力画面1!X23</f>
        <v/>
      </c>
      <c r="F28" s="328" t="str">
        <f>入力画面1!Y23</f>
        <v/>
      </c>
      <c r="G28" s="328" t="str">
        <f>入力画面1!Z23</f>
        <v/>
      </c>
      <c r="H28" s="328" t="str">
        <f>入力画面1!AA23</f>
        <v/>
      </c>
      <c r="I28" s="29"/>
      <c r="J28" s="21"/>
      <c r="K28" s="15"/>
      <c r="L28" s="15"/>
      <c r="M28" s="16"/>
      <c r="N28" s="22"/>
      <c r="O28" s="22"/>
    </row>
    <row r="29" spans="1:15" ht="21.6" customHeight="1">
      <c r="A29" s="1"/>
      <c r="B29" s="367"/>
      <c r="C29" s="28">
        <v>14</v>
      </c>
      <c r="D29" s="327" t="str">
        <f>入力画面1!W24</f>
        <v/>
      </c>
      <c r="E29" s="328" t="str">
        <f>入力画面1!X24</f>
        <v/>
      </c>
      <c r="F29" s="328" t="str">
        <f>入力画面1!Y24</f>
        <v/>
      </c>
      <c r="G29" s="328" t="str">
        <f>入力画面1!Z24</f>
        <v/>
      </c>
      <c r="H29" s="328" t="str">
        <f>入力画面1!AA24</f>
        <v/>
      </c>
      <c r="I29" s="29"/>
      <c r="J29" s="21"/>
      <c r="K29" s="15"/>
      <c r="L29" s="15"/>
      <c r="M29" s="16"/>
      <c r="N29" s="22"/>
      <c r="O29" s="22"/>
    </row>
    <row r="30" spans="1:15" ht="21.6" customHeight="1">
      <c r="A30" s="1"/>
      <c r="B30" s="367"/>
      <c r="C30" s="28">
        <v>15</v>
      </c>
      <c r="D30" s="327" t="str">
        <f>入力画面1!W25</f>
        <v/>
      </c>
      <c r="E30" s="328" t="str">
        <f>入力画面1!X25</f>
        <v/>
      </c>
      <c r="F30" s="328" t="str">
        <f>入力画面1!Y25</f>
        <v/>
      </c>
      <c r="G30" s="328" t="str">
        <f>入力画面1!Z25</f>
        <v/>
      </c>
      <c r="H30" s="328" t="str">
        <f>入力画面1!AA25</f>
        <v/>
      </c>
      <c r="I30" s="29"/>
      <c r="J30" s="21"/>
      <c r="K30" s="15"/>
      <c r="L30" s="15"/>
      <c r="M30" s="16"/>
      <c r="N30" s="22"/>
      <c r="O30" s="22"/>
    </row>
    <row r="31" spans="1:15" ht="21.6" customHeight="1">
      <c r="A31" s="1"/>
      <c r="B31" s="367"/>
      <c r="C31" s="28">
        <v>16</v>
      </c>
      <c r="D31" s="327" t="str">
        <f>入力画面1!W26</f>
        <v/>
      </c>
      <c r="E31" s="328" t="str">
        <f>入力画面1!X26</f>
        <v/>
      </c>
      <c r="F31" s="328" t="str">
        <f>入力画面1!Y26</f>
        <v/>
      </c>
      <c r="G31" s="328" t="str">
        <f>入力画面1!Z26</f>
        <v/>
      </c>
      <c r="H31" s="328" t="str">
        <f>入力画面1!AA26</f>
        <v/>
      </c>
      <c r="I31" s="29"/>
      <c r="J31" s="21"/>
      <c r="K31" s="15"/>
      <c r="L31" s="15"/>
      <c r="M31" s="16"/>
      <c r="N31" s="22"/>
      <c r="O31" s="22"/>
    </row>
    <row r="32" spans="1:15" ht="21.6" customHeight="1">
      <c r="A32" s="1"/>
      <c r="B32" s="367"/>
      <c r="C32" s="28">
        <v>17</v>
      </c>
      <c r="D32" s="327" t="str">
        <f>入力画面1!W27</f>
        <v/>
      </c>
      <c r="E32" s="328" t="str">
        <f>入力画面1!X27</f>
        <v/>
      </c>
      <c r="F32" s="328" t="str">
        <f>入力画面1!Y27</f>
        <v/>
      </c>
      <c r="G32" s="328" t="str">
        <f>入力画面1!Z27</f>
        <v/>
      </c>
      <c r="H32" s="328" t="str">
        <f>入力画面1!AA27</f>
        <v/>
      </c>
      <c r="I32" s="29"/>
      <c r="J32" s="21"/>
      <c r="K32" s="15"/>
      <c r="L32" s="15"/>
      <c r="M32" s="16"/>
      <c r="N32" s="22"/>
      <c r="O32" s="22"/>
    </row>
    <row r="33" spans="1:15" ht="21.6" customHeight="1">
      <c r="A33" s="1"/>
      <c r="B33" s="367"/>
      <c r="C33" s="28">
        <v>18</v>
      </c>
      <c r="D33" s="327" t="str">
        <f>入力画面1!W28</f>
        <v/>
      </c>
      <c r="E33" s="328" t="str">
        <f>入力画面1!X28</f>
        <v/>
      </c>
      <c r="F33" s="328" t="str">
        <f>入力画面1!Y28</f>
        <v/>
      </c>
      <c r="G33" s="328" t="str">
        <f>入力画面1!Z28</f>
        <v/>
      </c>
      <c r="H33" s="328" t="str">
        <f>入力画面1!AA28</f>
        <v/>
      </c>
      <c r="I33" s="29"/>
      <c r="J33" s="21"/>
      <c r="K33" s="15"/>
      <c r="L33" s="15"/>
      <c r="M33" s="16"/>
      <c r="N33" s="22"/>
      <c r="O33" s="22"/>
    </row>
    <row r="34" spans="1:15" ht="21.6" customHeight="1">
      <c r="A34" s="1"/>
      <c r="B34" s="367"/>
      <c r="C34" s="28">
        <v>19</v>
      </c>
      <c r="D34" s="327" t="str">
        <f>入力画面1!W29</f>
        <v/>
      </c>
      <c r="E34" s="328" t="str">
        <f>入力画面1!X29</f>
        <v/>
      </c>
      <c r="F34" s="328" t="str">
        <f>入力画面1!Y29</f>
        <v/>
      </c>
      <c r="G34" s="328" t="str">
        <f>入力画面1!Z29</f>
        <v/>
      </c>
      <c r="H34" s="328" t="str">
        <f>入力画面1!AA29</f>
        <v/>
      </c>
      <c r="I34" s="29"/>
      <c r="J34" s="21"/>
      <c r="K34" s="15"/>
      <c r="L34" s="15"/>
      <c r="M34" s="16"/>
      <c r="N34" s="22"/>
      <c r="O34" s="22"/>
    </row>
    <row r="35" spans="1:15" ht="21.6" customHeight="1">
      <c r="A35" s="1"/>
      <c r="B35" s="367"/>
      <c r="C35" s="28">
        <v>20</v>
      </c>
      <c r="D35" s="327" t="str">
        <f>入力画面1!W30</f>
        <v/>
      </c>
      <c r="E35" s="328" t="str">
        <f>入力画面1!X30</f>
        <v/>
      </c>
      <c r="F35" s="328" t="str">
        <f>入力画面1!Y30</f>
        <v/>
      </c>
      <c r="G35" s="328" t="str">
        <f>入力画面1!Z30</f>
        <v/>
      </c>
      <c r="H35" s="328" t="str">
        <f>入力画面1!AA30</f>
        <v/>
      </c>
      <c r="I35" s="29"/>
      <c r="J35" s="21"/>
      <c r="K35" s="15"/>
      <c r="L35" s="15"/>
      <c r="M35" s="16"/>
      <c r="N35" s="22"/>
      <c r="O35" s="22"/>
    </row>
    <row r="36" spans="1:15" ht="21.6" customHeight="1">
      <c r="A36" s="1"/>
      <c r="B36" s="367"/>
      <c r="C36" s="28">
        <v>21</v>
      </c>
      <c r="D36" s="327" t="str">
        <f>入力画面1!W31</f>
        <v/>
      </c>
      <c r="E36" s="328" t="str">
        <f>入力画面1!X31</f>
        <v/>
      </c>
      <c r="F36" s="328" t="str">
        <f>入力画面1!Y31</f>
        <v/>
      </c>
      <c r="G36" s="328" t="str">
        <f>入力画面1!Z31</f>
        <v/>
      </c>
      <c r="H36" s="328" t="str">
        <f>入力画面1!AA31</f>
        <v/>
      </c>
      <c r="I36" s="29"/>
      <c r="J36" s="21"/>
      <c r="K36" s="15"/>
      <c r="L36" s="15"/>
      <c r="M36" s="16"/>
      <c r="N36" s="22"/>
      <c r="O36" s="22"/>
    </row>
    <row r="37" spans="1:15" ht="21.6" customHeight="1">
      <c r="A37" s="1"/>
      <c r="B37" s="367"/>
      <c r="C37" s="28">
        <v>22</v>
      </c>
      <c r="D37" s="327" t="str">
        <f>入力画面1!W32</f>
        <v/>
      </c>
      <c r="E37" s="328" t="str">
        <f>入力画面1!X32</f>
        <v/>
      </c>
      <c r="F37" s="328" t="str">
        <f>入力画面1!Y32</f>
        <v/>
      </c>
      <c r="G37" s="328" t="str">
        <f>入力画面1!Z32</f>
        <v/>
      </c>
      <c r="H37" s="328" t="str">
        <f>入力画面1!AA32</f>
        <v/>
      </c>
      <c r="I37" s="29"/>
      <c r="J37" s="21"/>
      <c r="K37" s="15"/>
      <c r="L37" s="15"/>
      <c r="M37" s="16"/>
      <c r="N37" s="22"/>
      <c r="O37" s="22"/>
    </row>
    <row r="38" spans="1:15" ht="21.6" customHeight="1">
      <c r="A38" s="1"/>
      <c r="B38" s="367"/>
      <c r="C38" s="28">
        <v>23</v>
      </c>
      <c r="D38" s="327" t="str">
        <f>入力画面1!W33</f>
        <v/>
      </c>
      <c r="E38" s="328" t="str">
        <f>入力画面1!X33</f>
        <v/>
      </c>
      <c r="F38" s="328" t="str">
        <f>入力画面1!Y33</f>
        <v/>
      </c>
      <c r="G38" s="328" t="str">
        <f>入力画面1!Z33</f>
        <v/>
      </c>
      <c r="H38" s="328" t="str">
        <f>入力画面1!AA33</f>
        <v/>
      </c>
      <c r="I38" s="29"/>
      <c r="J38" s="21"/>
      <c r="K38" s="15"/>
      <c r="L38" s="15"/>
      <c r="M38" s="16"/>
      <c r="N38" s="22"/>
      <c r="O38" s="22"/>
    </row>
    <row r="39" spans="1:15" ht="21.6" customHeight="1" thickBot="1">
      <c r="A39" s="1"/>
      <c r="B39" s="367"/>
      <c r="C39" s="28">
        <v>24</v>
      </c>
      <c r="D39" s="327" t="str">
        <f>入力画面1!W34</f>
        <v/>
      </c>
      <c r="E39" s="328" t="str">
        <f>入力画面1!X34</f>
        <v/>
      </c>
      <c r="F39" s="328" t="str">
        <f>入力画面1!Y34</f>
        <v/>
      </c>
      <c r="G39" s="328" t="str">
        <f>入力画面1!Z34</f>
        <v/>
      </c>
      <c r="H39" s="328" t="str">
        <f>入力画面1!AA34</f>
        <v/>
      </c>
      <c r="I39" s="29"/>
      <c r="J39" s="21"/>
      <c r="K39" s="15"/>
      <c r="L39" s="15"/>
      <c r="M39" s="16"/>
      <c r="N39" s="22"/>
      <c r="O39" s="22"/>
    </row>
    <row r="40" spans="1:15" ht="35.450000000000003" customHeight="1">
      <c r="A40" s="1"/>
      <c r="B40" s="211"/>
      <c r="C40" s="212"/>
      <c r="D40" s="213"/>
      <c r="E40" s="214"/>
      <c r="F40" s="214"/>
      <c r="G40" s="215"/>
      <c r="H40" s="215"/>
      <c r="I40" s="29"/>
      <c r="J40" s="21"/>
      <c r="K40" s="15"/>
      <c r="L40" s="15"/>
      <c r="M40" s="16"/>
      <c r="N40" s="22"/>
      <c r="O40" s="22"/>
    </row>
  </sheetData>
  <sheetProtection sheet="1" objects="1" scenarios="1"/>
  <mergeCells count="17">
    <mergeCell ref="B16:B39"/>
    <mergeCell ref="B5:F5"/>
    <mergeCell ref="G5:H5"/>
    <mergeCell ref="B6:D6"/>
    <mergeCell ref="B7:B12"/>
    <mergeCell ref="B13:D15"/>
    <mergeCell ref="E13:E15"/>
    <mergeCell ref="F13:F15"/>
    <mergeCell ref="G13:H15"/>
    <mergeCell ref="G2:H2"/>
    <mergeCell ref="J2:O2"/>
    <mergeCell ref="B3:H3"/>
    <mergeCell ref="B4:F4"/>
    <mergeCell ref="G4:H4"/>
    <mergeCell ref="J4:M4"/>
    <mergeCell ref="N4:O4"/>
    <mergeCell ref="C2:F2"/>
  </mergeCells>
  <phoneticPr fontId="2"/>
  <pageMargins left="0.23622047244094491" right="0.23622047244094491" top="0.74803149606299213" bottom="0.74803149606299213" header="0.31496062992125984" footer="0.31496062992125984"/>
  <pageSetup paperSize="8"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33D0-9BAA-469C-A0AA-4458896CDA07}">
  <sheetPr>
    <tabColor theme="9" tint="0.79998168889431442"/>
  </sheetPr>
  <dimension ref="A1:T84"/>
  <sheetViews>
    <sheetView zoomScale="72" zoomScaleNormal="72" workbookViewId="0">
      <selection activeCell="N13" sqref="N13"/>
    </sheetView>
  </sheetViews>
  <sheetFormatPr defaultColWidth="8.75" defaultRowHeight="14.25"/>
  <cols>
    <col min="1" max="1" width="2.25" style="2" customWidth="1"/>
    <col min="2" max="2" width="5.75" style="2" customWidth="1"/>
    <col min="3" max="3" width="10.625" style="2" customWidth="1"/>
    <col min="4" max="12" width="25.125" style="2" customWidth="1"/>
    <col min="13" max="13" width="3.75" style="2" customWidth="1"/>
    <col min="14" max="14" width="4.75" style="2" customWidth="1"/>
    <col min="15" max="15" width="7.25" style="2" customWidth="1"/>
    <col min="16" max="16" width="4.75" style="2" customWidth="1"/>
    <col min="17" max="17" width="4.25" style="2" customWidth="1"/>
    <col min="18" max="18" width="8" style="2" customWidth="1"/>
    <col min="19" max="19" width="19.75" style="2" customWidth="1"/>
    <col min="20" max="20" width="18.75" style="2" customWidth="1"/>
    <col min="21" max="16384" width="8.75" style="2"/>
  </cols>
  <sheetData>
    <row r="1" spans="1:20" ht="24.6" customHeight="1">
      <c r="A1" s="1"/>
      <c r="B1" s="1"/>
      <c r="C1" s="1"/>
      <c r="D1" s="1"/>
      <c r="E1" s="1"/>
      <c r="F1" s="1"/>
      <c r="G1" s="1"/>
      <c r="H1" s="1"/>
      <c r="I1" s="1"/>
      <c r="J1" s="1"/>
      <c r="K1" s="1"/>
      <c r="L1" s="1"/>
      <c r="M1" s="1"/>
    </row>
    <row r="2" spans="1:20" ht="37.15" customHeight="1" thickBot="1">
      <c r="A2" s="1"/>
      <c r="B2" s="1"/>
      <c r="C2" s="1"/>
      <c r="D2" s="339" t="s">
        <v>0</v>
      </c>
      <c r="E2" s="339"/>
      <c r="F2" s="339"/>
      <c r="G2" s="339"/>
      <c r="H2" s="339"/>
      <c r="I2" s="356" t="s">
        <v>1</v>
      </c>
      <c r="J2" s="356"/>
      <c r="K2" s="4"/>
      <c r="L2" s="4"/>
      <c r="M2" s="5"/>
      <c r="N2" s="6"/>
      <c r="O2" s="357"/>
      <c r="P2" s="357"/>
      <c r="Q2" s="357"/>
      <c r="R2" s="357"/>
      <c r="S2" s="357"/>
      <c r="T2" s="357"/>
    </row>
    <row r="3" spans="1:20" ht="44.45" customHeight="1" thickBot="1">
      <c r="A3" s="1"/>
      <c r="B3" s="398" t="s">
        <v>14</v>
      </c>
      <c r="C3" s="399"/>
      <c r="D3" s="399"/>
      <c r="E3" s="399"/>
      <c r="F3" s="399"/>
      <c r="G3" s="399"/>
      <c r="H3" s="399"/>
      <c r="I3" s="399"/>
      <c r="J3" s="399"/>
      <c r="K3" s="399"/>
      <c r="L3" s="400"/>
      <c r="M3" s="20"/>
      <c r="O3" s="21"/>
      <c r="P3" s="15"/>
      <c r="Q3" s="15"/>
      <c r="R3" s="16"/>
      <c r="S3" s="22"/>
      <c r="T3" s="22"/>
    </row>
    <row r="4" spans="1:20" ht="17.45" customHeight="1">
      <c r="A4" s="1"/>
      <c r="B4" s="31"/>
      <c r="C4" s="32"/>
      <c r="D4" s="33">
        <v>1</v>
      </c>
      <c r="E4" s="33">
        <v>2</v>
      </c>
      <c r="F4" s="33">
        <v>3</v>
      </c>
      <c r="G4" s="33">
        <v>4</v>
      </c>
      <c r="H4" s="33">
        <v>5</v>
      </c>
      <c r="I4" s="33">
        <v>6</v>
      </c>
      <c r="J4" s="33" t="s">
        <v>15</v>
      </c>
      <c r="K4" s="33"/>
      <c r="L4" s="34"/>
      <c r="M4" s="20"/>
      <c r="O4" s="21"/>
      <c r="P4" s="15"/>
      <c r="Q4" s="15"/>
      <c r="S4" s="22"/>
      <c r="T4" s="22"/>
    </row>
    <row r="5" spans="1:20" ht="17.45" customHeight="1">
      <c r="A5" s="1"/>
      <c r="B5" s="401" t="s">
        <v>16</v>
      </c>
      <c r="C5" s="35" t="s">
        <v>17</v>
      </c>
      <c r="D5" s="36">
        <f>IF(変換入力画面!G7="","",変換入力画面!G7)</f>
        <v>40751.440999999999</v>
      </c>
      <c r="E5" s="36">
        <f>IF(変換入力画面!G8="","",変換入力画面!G8)</f>
        <v>40763.387000000002</v>
      </c>
      <c r="F5" s="36">
        <f>IF(変換入力画面!G9="","",変換入力画面!G9)</f>
        <v>40746.894</v>
      </c>
      <c r="G5" s="36">
        <f>IF(変換入力画面!G10="","",変換入力画面!G10)</f>
        <v>40743.688000000002</v>
      </c>
      <c r="H5" s="36">
        <f>IF(変換入力画面!G11="","",変換入力画面!G11)</f>
        <v>40734.506000000001</v>
      </c>
      <c r="I5" s="36">
        <f>IF(変換入力画面!G12="","",変換入力画面!G12)</f>
        <v>40741.995000000003</v>
      </c>
      <c r="J5" s="36">
        <f>SUM(D5:I5)</f>
        <v>244481.91099999999</v>
      </c>
      <c r="K5" s="37" t="s">
        <v>18</v>
      </c>
      <c r="L5" s="38"/>
      <c r="M5" s="20"/>
      <c r="O5" s="21"/>
      <c r="P5" s="15"/>
      <c r="Q5" s="15"/>
      <c r="S5" s="22"/>
      <c r="T5" s="22"/>
    </row>
    <row r="6" spans="1:20" ht="17.45" customHeight="1">
      <c r="A6" s="1"/>
      <c r="B6" s="402"/>
      <c r="C6" s="35" t="s">
        <v>19</v>
      </c>
      <c r="D6" s="36">
        <f>IF(変換入力画面!H7="","",変換入力画面!H7)</f>
        <v>-91907.573000000004</v>
      </c>
      <c r="E6" s="36">
        <f>IF(変換入力画面!H8="","",変換入力画面!H8)</f>
        <v>-91896.063999999998</v>
      </c>
      <c r="F6" s="36">
        <f>IF(変換入力画面!H9="","",変換入力画面!H9)</f>
        <v>-91883.892000000007</v>
      </c>
      <c r="G6" s="36">
        <f>IF(変換入力画面!H10="","",変換入力画面!H10)</f>
        <v>-91881.32</v>
      </c>
      <c r="H6" s="36">
        <f>IF(変換入力画面!H11="","",変換入力画面!H11)</f>
        <v>-91890.554000000004</v>
      </c>
      <c r="I6" s="36">
        <f>IF(変換入力画面!H12="","",変換入力画面!H12)</f>
        <v>-91897.479000000007</v>
      </c>
      <c r="J6" s="36">
        <f t="shared" ref="J6:J8" si="0">SUM(D6:I6)</f>
        <v>-551356.88199999998</v>
      </c>
      <c r="K6" s="37" t="s">
        <v>20</v>
      </c>
      <c r="L6" s="38"/>
      <c r="M6" s="20"/>
      <c r="O6" s="21"/>
      <c r="P6" s="15"/>
      <c r="Q6" s="15"/>
      <c r="S6" s="22"/>
      <c r="T6" s="22"/>
    </row>
    <row r="7" spans="1:20" ht="17.45" customHeight="1">
      <c r="A7" s="1"/>
      <c r="B7" s="402"/>
      <c r="C7" s="35" t="s">
        <v>21</v>
      </c>
      <c r="D7" s="36">
        <f>IF(変換入力画面!E7="","",変換入力画面!E7)</f>
        <v>40751.207999999999</v>
      </c>
      <c r="E7" s="36">
        <f>IF(変換入力画面!E8="","",変換入力画面!E8)</f>
        <v>40763.1</v>
      </c>
      <c r="F7" s="36">
        <f>IF(変換入力画面!E9="","",変換入力画面!E9)</f>
        <v>40746.485999999997</v>
      </c>
      <c r="G7" s="36">
        <f>IF(変換入力画面!E10="","",変換入力画面!E10)</f>
        <v>40743.476999999999</v>
      </c>
      <c r="H7" s="36">
        <f>IF(変換入力画面!E11="","",変換入力画面!E11)</f>
        <v>40734.370999999999</v>
      </c>
      <c r="I7" s="36">
        <f>IF(変換入力画面!E12="","",変換入力画面!E12)</f>
        <v>40741.838000000003</v>
      </c>
      <c r="J7" s="36">
        <f t="shared" si="0"/>
        <v>244480.47999999998</v>
      </c>
      <c r="K7" s="39" t="s">
        <v>22</v>
      </c>
      <c r="L7" s="40"/>
      <c r="M7" s="20"/>
      <c r="O7" s="21"/>
      <c r="P7" s="15"/>
      <c r="Q7" s="15"/>
      <c r="S7" s="22"/>
      <c r="T7" s="22"/>
    </row>
    <row r="8" spans="1:20" ht="17.45" customHeight="1">
      <c r="A8" s="1"/>
      <c r="B8" s="403"/>
      <c r="C8" s="41" t="s">
        <v>23</v>
      </c>
      <c r="D8" s="42">
        <f>IF(変換入力画面!F7="","",変換入力画面!F7)</f>
        <v>-91907.42</v>
      </c>
      <c r="E8" s="42">
        <f>IF(変換入力画面!F8="","",変換入力画面!F8)</f>
        <v>-91896.176999999996</v>
      </c>
      <c r="F8" s="42">
        <f>IF(変換入力画面!F9="","",変換入力画面!F9)</f>
        <v>-91883.832999999999</v>
      </c>
      <c r="G8" s="42">
        <f>IF(変換入力画面!F10="","",変換入力画面!F10)</f>
        <v>-91881.240999999995</v>
      </c>
      <c r="H8" s="42">
        <f>IF(変換入力画面!F11="","",変換入力画面!F11)</f>
        <v>-91890.438999999998</v>
      </c>
      <c r="I8" s="42">
        <f>IF(変換入力画面!F12="","",変換入力画面!F12)</f>
        <v>-91897.357999999993</v>
      </c>
      <c r="J8" s="43">
        <f t="shared" si="0"/>
        <v>-551356.46799999999</v>
      </c>
      <c r="K8" s="44" t="s">
        <v>24</v>
      </c>
      <c r="L8" s="45"/>
      <c r="M8" s="20"/>
      <c r="O8" s="21"/>
      <c r="P8" s="15"/>
      <c r="Q8" s="15"/>
      <c r="S8" s="22"/>
      <c r="T8" s="22"/>
    </row>
    <row r="9" spans="1:20" ht="17.45" customHeight="1">
      <c r="A9" s="1"/>
      <c r="B9" s="402" t="s">
        <v>25</v>
      </c>
      <c r="C9" s="32"/>
      <c r="D9" s="46"/>
      <c r="E9" s="46"/>
      <c r="F9" s="46"/>
      <c r="G9" s="46"/>
      <c r="H9" s="46"/>
      <c r="I9" s="46"/>
      <c r="J9" s="47"/>
      <c r="K9" s="48"/>
      <c r="L9" s="49"/>
      <c r="M9" s="20"/>
      <c r="O9" s="21"/>
      <c r="P9" s="15"/>
      <c r="Q9" s="15"/>
      <c r="S9" s="22"/>
      <c r="T9" s="22"/>
    </row>
    <row r="10" spans="1:20" ht="17.45" customHeight="1">
      <c r="A10" s="1"/>
      <c r="B10" s="402"/>
      <c r="C10" s="37" t="s">
        <v>26</v>
      </c>
      <c r="D10" s="36">
        <f t="shared" ref="D10:I10" si="1">IF(D5="","",D5*D7)</f>
        <v>1660670448.4907279</v>
      </c>
      <c r="E10" s="36">
        <f t="shared" si="1"/>
        <v>1661642020.6197</v>
      </c>
      <c r="F10" s="36">
        <f t="shared" si="1"/>
        <v>1660292745.9144838</v>
      </c>
      <c r="G10" s="36">
        <f t="shared" si="1"/>
        <v>1660039514.9231761</v>
      </c>
      <c r="H10" s="36">
        <f t="shared" si="1"/>
        <v>1659294479.905726</v>
      </c>
      <c r="I10" s="36">
        <f t="shared" si="1"/>
        <v>1659903760.0868104</v>
      </c>
      <c r="J10" s="36">
        <f t="shared" ref="J10:J15" si="2">SUM(D10:I10)</f>
        <v>9961842969.9406242</v>
      </c>
      <c r="K10" s="50" t="s">
        <v>27</v>
      </c>
      <c r="L10" s="51"/>
      <c r="M10" s="20"/>
      <c r="O10" s="21"/>
      <c r="P10" s="15"/>
      <c r="Q10" s="15"/>
      <c r="S10" s="22"/>
      <c r="T10" s="22"/>
    </row>
    <row r="11" spans="1:20" ht="17.45" customHeight="1">
      <c r="A11" s="1"/>
      <c r="B11" s="402"/>
      <c r="C11" s="37" t="s">
        <v>28</v>
      </c>
      <c r="D11" s="36">
        <f t="shared" ref="D11:I11" si="3">IF(D5="","",D5*D8)</f>
        <v>-3745359803.5922198</v>
      </c>
      <c r="E11" s="36">
        <f t="shared" si="3"/>
        <v>-3745999426.8714991</v>
      </c>
      <c r="F11" s="36">
        <f t="shared" si="3"/>
        <v>-3743980803.564702</v>
      </c>
      <c r="G11" s="36">
        <f t="shared" si="3"/>
        <v>-3743580616.3568082</v>
      </c>
      <c r="H11" s="36">
        <f t="shared" si="3"/>
        <v>-3743111638.7881341</v>
      </c>
      <c r="I11" s="52">
        <f t="shared" si="3"/>
        <v>-3744081700.14921</v>
      </c>
      <c r="J11" s="36">
        <f t="shared" si="2"/>
        <v>-22466113989.322571</v>
      </c>
      <c r="K11" s="50" t="s">
        <v>29</v>
      </c>
      <c r="L11" s="51"/>
      <c r="M11" s="20"/>
      <c r="O11" s="21"/>
      <c r="P11" s="15"/>
      <c r="Q11" s="15"/>
      <c r="S11" s="22"/>
      <c r="T11" s="22"/>
    </row>
    <row r="12" spans="1:20" ht="17.45" customHeight="1">
      <c r="A12" s="1"/>
      <c r="B12" s="402"/>
      <c r="C12" s="37" t="s">
        <v>30</v>
      </c>
      <c r="D12" s="52">
        <f t="shared" ref="D12:I12" si="4">IF(D6="","",D6*D7)</f>
        <v>-3745344624.0981841</v>
      </c>
      <c r="E12" s="52">
        <f t="shared" si="4"/>
        <v>-3745968446.4383998</v>
      </c>
      <c r="F12" s="52">
        <f t="shared" si="4"/>
        <v>-3743945719.0035119</v>
      </c>
      <c r="G12" s="36">
        <f t="shared" si="4"/>
        <v>-3743564448.1496401</v>
      </c>
      <c r="H12" s="36">
        <f t="shared" si="4"/>
        <v>-3743103918.0315342</v>
      </c>
      <c r="I12" s="36">
        <f t="shared" si="4"/>
        <v>-3744072202.0264025</v>
      </c>
      <c r="J12" s="36">
        <f t="shared" si="2"/>
        <v>-22465999357.747669</v>
      </c>
      <c r="K12" s="50" t="s">
        <v>31</v>
      </c>
      <c r="L12" s="51"/>
      <c r="M12" s="20"/>
      <c r="O12" s="21"/>
      <c r="P12" s="15"/>
      <c r="Q12" s="15"/>
      <c r="S12" s="22"/>
      <c r="T12" s="22"/>
    </row>
    <row r="13" spans="1:20" ht="17.45" customHeight="1">
      <c r="A13" s="1"/>
      <c r="B13" s="402"/>
      <c r="C13" s="37" t="s">
        <v>32</v>
      </c>
      <c r="D13" s="36">
        <f>IF(D6="","",D6*D8)</f>
        <v>8446987912.8916597</v>
      </c>
      <c r="E13" s="36">
        <f t="shared" ref="E13:I13" si="5">IF(E6="","",E6*E8)</f>
        <v>8444896962.9473276</v>
      </c>
      <c r="F13" s="36">
        <f t="shared" si="5"/>
        <v>8442644187.9180365</v>
      </c>
      <c r="G13" s="36">
        <f t="shared" si="5"/>
        <v>8442169706.31812</v>
      </c>
      <c r="H13" s="36">
        <f t="shared" si="5"/>
        <v>8443863347.0132065</v>
      </c>
      <c r="I13" s="36">
        <f t="shared" si="5"/>
        <v>8445135526.9604816</v>
      </c>
      <c r="J13" s="36">
        <f t="shared" si="2"/>
        <v>50665697644.048828</v>
      </c>
      <c r="K13" s="50" t="s">
        <v>33</v>
      </c>
      <c r="L13" s="51"/>
      <c r="M13" s="20"/>
      <c r="O13" s="21"/>
      <c r="P13" s="15"/>
      <c r="Q13" s="15"/>
      <c r="S13" s="22"/>
      <c r="T13" s="22"/>
    </row>
    <row r="14" spans="1:20" ht="17.45" customHeight="1">
      <c r="A14" s="1"/>
      <c r="B14" s="402"/>
      <c r="C14" s="37" t="s">
        <v>34</v>
      </c>
      <c r="D14" s="36">
        <f>IF(D$5="","",D10+D13)</f>
        <v>10107658361.382387</v>
      </c>
      <c r="E14" s="36">
        <f t="shared" ref="E14:I14" si="6">IF(E$5="","",E10+E13)</f>
        <v>10106538983.567028</v>
      </c>
      <c r="F14" s="36">
        <f t="shared" si="6"/>
        <v>10102936933.83252</v>
      </c>
      <c r="G14" s="36">
        <f t="shared" si="6"/>
        <v>10102209221.241297</v>
      </c>
      <c r="H14" s="36">
        <f t="shared" si="6"/>
        <v>10103157826.918932</v>
      </c>
      <c r="I14" s="36">
        <f t="shared" si="6"/>
        <v>10105039287.047293</v>
      </c>
      <c r="J14" s="36">
        <f t="shared" si="2"/>
        <v>60627540613.989456</v>
      </c>
      <c r="K14" s="37" t="s">
        <v>35</v>
      </c>
      <c r="L14" s="51"/>
      <c r="M14" s="20"/>
      <c r="O14" s="21"/>
      <c r="P14" s="15"/>
      <c r="Q14" s="15"/>
      <c r="S14" s="22"/>
      <c r="T14" s="22"/>
    </row>
    <row r="15" spans="1:20" ht="17.45" customHeight="1">
      <c r="A15" s="1"/>
      <c r="B15" s="402"/>
      <c r="C15" s="37" t="s">
        <v>36</v>
      </c>
      <c r="D15" s="36">
        <f t="shared" ref="D15:I15" si="7">IF(D$5="","",D11-D12)</f>
        <v>-15179.494035720825</v>
      </c>
      <c r="E15" s="36">
        <f t="shared" si="7"/>
        <v>-30980.433099269867</v>
      </c>
      <c r="F15" s="36">
        <f t="shared" si="7"/>
        <v>-35084.561190128326</v>
      </c>
      <c r="G15" s="36">
        <f t="shared" si="7"/>
        <v>-16168.207168102264</v>
      </c>
      <c r="H15" s="36">
        <f t="shared" si="7"/>
        <v>-7720.7565999031067</v>
      </c>
      <c r="I15" s="36">
        <f t="shared" si="7"/>
        <v>-9498.1228075027466</v>
      </c>
      <c r="J15" s="36">
        <f t="shared" si="2"/>
        <v>-114631.57490062714</v>
      </c>
      <c r="K15" s="37" t="s">
        <v>37</v>
      </c>
      <c r="L15" s="51"/>
      <c r="M15" s="20"/>
      <c r="O15" s="21"/>
      <c r="P15" s="15"/>
      <c r="Q15" s="15"/>
      <c r="S15" s="22"/>
      <c r="T15" s="22"/>
    </row>
    <row r="16" spans="1:20" ht="17.45" customHeight="1">
      <c r="A16" s="1"/>
      <c r="B16" s="402"/>
      <c r="C16" s="37" t="s">
        <v>38</v>
      </c>
      <c r="D16" s="36">
        <f t="shared" ref="D16:I17" si="8">IF(D7="","",D7^2)</f>
        <v>1660660953.4592638</v>
      </c>
      <c r="E16" s="36">
        <f t="shared" si="8"/>
        <v>1661630321.6099999</v>
      </c>
      <c r="F16" s="36">
        <f t="shared" si="8"/>
        <v>1660276121.3481958</v>
      </c>
      <c r="G16" s="36">
        <f t="shared" si="8"/>
        <v>1660030918.0495288</v>
      </c>
      <c r="H16" s="36">
        <f t="shared" si="8"/>
        <v>1659288980.765641</v>
      </c>
      <c r="I16" s="36">
        <f t="shared" si="8"/>
        <v>1659897363.6182442</v>
      </c>
      <c r="J16" s="36">
        <f>SUM(D16:I16)</f>
        <v>9961784658.8508739</v>
      </c>
      <c r="K16" s="50" t="s">
        <v>39</v>
      </c>
      <c r="L16" s="51"/>
      <c r="M16" s="20"/>
      <c r="O16" s="21"/>
      <c r="P16" s="15"/>
      <c r="Q16" s="15"/>
      <c r="S16" s="22"/>
      <c r="T16" s="22"/>
    </row>
    <row r="17" spans="1:20" ht="17.45" customHeight="1">
      <c r="A17" s="1"/>
      <c r="B17" s="402"/>
      <c r="C17" s="37" t="s">
        <v>40</v>
      </c>
      <c r="D17" s="36">
        <f t="shared" si="8"/>
        <v>8446973851.0563993</v>
      </c>
      <c r="E17" s="36">
        <f t="shared" si="8"/>
        <v>8444907347.2153282</v>
      </c>
      <c r="F17" s="36">
        <f t="shared" si="8"/>
        <v>8442638766.7718887</v>
      </c>
      <c r="G17" s="36">
        <f t="shared" si="8"/>
        <v>8442162447.7000799</v>
      </c>
      <c r="H17" s="36">
        <f t="shared" si="8"/>
        <v>8443852779.6127205</v>
      </c>
      <c r="I17" s="36">
        <f t="shared" si="8"/>
        <v>8445124407.3801622</v>
      </c>
      <c r="J17" s="52">
        <f>SUM(D17:I17)</f>
        <v>50665659599.73658</v>
      </c>
      <c r="K17" s="50" t="s">
        <v>41</v>
      </c>
      <c r="L17" s="51"/>
      <c r="M17" s="20"/>
      <c r="O17" s="21"/>
      <c r="P17" s="15"/>
      <c r="Q17" s="15"/>
      <c r="S17" s="22"/>
      <c r="T17" s="22"/>
    </row>
    <row r="18" spans="1:20" ht="17.45" customHeight="1">
      <c r="A18" s="1"/>
      <c r="B18" s="402"/>
      <c r="C18" s="37" t="s">
        <v>42</v>
      </c>
      <c r="D18" s="52">
        <f t="shared" ref="D18:I18" si="9">IF(D8="","",D16+D17)</f>
        <v>10107634804.515663</v>
      </c>
      <c r="E18" s="52">
        <f t="shared" si="9"/>
        <v>10106537668.825329</v>
      </c>
      <c r="F18" s="52">
        <f t="shared" si="9"/>
        <v>10102914888.120085</v>
      </c>
      <c r="G18" s="52">
        <f t="shared" si="9"/>
        <v>10102193365.749609</v>
      </c>
      <c r="H18" s="52">
        <f t="shared" si="9"/>
        <v>10103141760.378361</v>
      </c>
      <c r="I18" s="52">
        <f t="shared" si="9"/>
        <v>10105021770.998405</v>
      </c>
      <c r="J18" s="52">
        <f>SUM(D18:I18)</f>
        <v>60627444258.587456</v>
      </c>
      <c r="K18" s="50" t="s">
        <v>43</v>
      </c>
      <c r="L18" s="51"/>
      <c r="M18" s="20"/>
      <c r="O18" s="21"/>
      <c r="P18" s="15"/>
      <c r="Q18" s="15"/>
      <c r="S18" s="22"/>
      <c r="T18" s="22"/>
    </row>
    <row r="19" spans="1:20" ht="17.45" customHeight="1">
      <c r="A19" s="1"/>
      <c r="B19" s="402"/>
      <c r="C19" s="37" t="s">
        <v>44</v>
      </c>
      <c r="D19" s="52">
        <f>IF(D8="","",D16-D17)</f>
        <v>-6786312897.5971355</v>
      </c>
      <c r="E19" s="52">
        <f>IF(E8="","",E16-E17)</f>
        <v>-6783277025.6053286</v>
      </c>
      <c r="F19" s="52">
        <f>IF(F8="","",F16-F17)</f>
        <v>-6782362645.4236927</v>
      </c>
      <c r="G19" s="52">
        <f>IF(G8="","",G16-G17)</f>
        <v>-6782131529.6505508</v>
      </c>
      <c r="H19" s="52">
        <f>IF(H8="","",H16-H17)</f>
        <v>-6784563798.8470793</v>
      </c>
      <c r="I19" s="52">
        <f>IF(I8="","",I16+I17)</f>
        <v>10105021770.998405</v>
      </c>
      <c r="J19" s="52">
        <f t="shared" ref="J19" si="10">SUM(D19:I19)</f>
        <v>-23813626126.125385</v>
      </c>
      <c r="K19" s="37" t="s">
        <v>45</v>
      </c>
      <c r="L19" s="51"/>
      <c r="M19" s="20"/>
      <c r="O19" s="21"/>
      <c r="P19" s="15"/>
      <c r="Q19" s="15"/>
      <c r="S19" s="22"/>
      <c r="T19" s="22"/>
    </row>
    <row r="20" spans="1:20" ht="17.45" customHeight="1">
      <c r="A20" s="1"/>
      <c r="B20" s="402"/>
      <c r="C20" s="37"/>
      <c r="D20" s="36"/>
      <c r="E20" s="36"/>
      <c r="F20" s="36"/>
      <c r="G20" s="36"/>
      <c r="H20" s="36"/>
      <c r="I20" s="36"/>
      <c r="J20" s="52"/>
      <c r="K20" s="50"/>
      <c r="L20" s="51"/>
      <c r="M20" s="20"/>
      <c r="O20" s="21"/>
      <c r="P20" s="15"/>
      <c r="Q20" s="15"/>
      <c r="S20" s="22"/>
      <c r="T20" s="22"/>
    </row>
    <row r="21" spans="1:20" ht="17.45" customHeight="1">
      <c r="A21" s="1"/>
      <c r="B21" s="402"/>
      <c r="C21" s="37"/>
      <c r="D21" s="36"/>
      <c r="E21" s="36"/>
      <c r="F21" s="36"/>
      <c r="G21" s="36"/>
      <c r="H21" s="36"/>
      <c r="I21" s="36"/>
      <c r="J21" s="52"/>
      <c r="K21" s="50"/>
      <c r="L21" s="51"/>
      <c r="M21" s="20"/>
      <c r="O21" s="21"/>
      <c r="P21" s="15"/>
      <c r="Q21" s="15"/>
      <c r="S21" s="22"/>
      <c r="T21" s="22"/>
    </row>
    <row r="22" spans="1:20" ht="18" customHeight="1">
      <c r="A22" s="1"/>
      <c r="B22" s="53"/>
      <c r="C22" s="54" t="s">
        <v>46</v>
      </c>
      <c r="D22" s="54">
        <f>入力画面1!B35</f>
        <v>6</v>
      </c>
      <c r="E22" s="55"/>
      <c r="F22" s="55"/>
      <c r="G22" s="55"/>
      <c r="H22" s="55"/>
      <c r="I22" s="55"/>
      <c r="J22" s="55"/>
      <c r="K22" s="56"/>
      <c r="L22" s="57"/>
      <c r="M22" s="20"/>
      <c r="O22" s="21"/>
      <c r="P22" s="15"/>
      <c r="Q22" s="15"/>
      <c r="S22" s="22"/>
      <c r="T22" s="22"/>
    </row>
    <row r="23" spans="1:20" ht="18" customHeight="1">
      <c r="A23" s="1"/>
      <c r="B23" s="58"/>
      <c r="C23" s="33"/>
      <c r="D23" s="37"/>
      <c r="E23" s="59" t="s">
        <v>119</v>
      </c>
      <c r="F23" s="60"/>
      <c r="G23" s="60"/>
      <c r="H23" s="60"/>
      <c r="I23" s="60"/>
      <c r="J23" s="60"/>
      <c r="K23" s="61"/>
      <c r="L23" s="62"/>
      <c r="M23" s="20"/>
      <c r="O23" s="21"/>
      <c r="P23" s="15"/>
      <c r="Q23" s="15"/>
      <c r="S23" s="22"/>
      <c r="T23" s="22"/>
    </row>
    <row r="24" spans="1:20" ht="17.45" customHeight="1">
      <c r="A24" s="1"/>
      <c r="B24" s="401" t="s">
        <v>47</v>
      </c>
      <c r="C24" s="39" t="s">
        <v>48</v>
      </c>
      <c r="D24" s="63"/>
      <c r="E24" s="36">
        <f>J7^2+J8^2-D22*J18</f>
        <v>-5645.059326171875</v>
      </c>
      <c r="F24" s="36"/>
      <c r="G24" s="36"/>
      <c r="H24" s="36"/>
      <c r="I24" s="36"/>
      <c r="J24" s="36"/>
      <c r="K24" s="64"/>
      <c r="L24" s="38"/>
      <c r="M24" s="20"/>
      <c r="O24" s="21"/>
      <c r="P24" s="15"/>
      <c r="Q24" s="15"/>
      <c r="S24" s="22"/>
      <c r="T24" s="22"/>
    </row>
    <row r="25" spans="1:20" ht="17.45" customHeight="1">
      <c r="A25" s="1"/>
      <c r="B25" s="402"/>
      <c r="C25" s="37"/>
      <c r="D25" s="37" t="s">
        <v>49</v>
      </c>
      <c r="E25" s="37" t="s">
        <v>50</v>
      </c>
      <c r="F25" s="37" t="s">
        <v>117</v>
      </c>
      <c r="G25" s="37"/>
      <c r="H25" s="39"/>
      <c r="I25" s="52"/>
      <c r="J25" s="52"/>
      <c r="K25" s="65"/>
      <c r="L25" s="40"/>
      <c r="M25" s="20"/>
      <c r="O25" s="21"/>
      <c r="P25" s="15"/>
      <c r="Q25" s="15"/>
      <c r="S25" s="22"/>
      <c r="T25" s="22"/>
    </row>
    <row r="26" spans="1:20" ht="17.45" customHeight="1">
      <c r="A26" s="1"/>
      <c r="B26" s="402"/>
      <c r="C26" s="37" t="s">
        <v>51</v>
      </c>
      <c r="D26" s="52">
        <f>J5*J7</f>
        <v>59771054952.597275</v>
      </c>
      <c r="E26" s="52">
        <f>J8*J6</f>
        <v>303994183067.01276</v>
      </c>
      <c r="F26" s="52">
        <f>D22*J14</f>
        <v>363765243683.93677</v>
      </c>
      <c r="G26" s="37"/>
      <c r="H26" s="36"/>
      <c r="I26" s="52"/>
      <c r="J26" s="66">
        <f>ROUND(((D26+E26-F26)/E24),6)</f>
        <v>1.0034130000000001</v>
      </c>
      <c r="K26" s="67" t="s">
        <v>51</v>
      </c>
      <c r="L26" s="40"/>
      <c r="M26" s="20"/>
      <c r="O26" s="21"/>
      <c r="P26" s="15"/>
      <c r="Q26" s="15"/>
      <c r="S26" s="22"/>
      <c r="T26" s="22"/>
    </row>
    <row r="27" spans="1:20" ht="17.45" customHeight="1">
      <c r="A27" s="1"/>
      <c r="B27" s="402"/>
      <c r="C27" s="37"/>
      <c r="D27" s="37" t="s">
        <v>52</v>
      </c>
      <c r="E27" s="37" t="s">
        <v>53</v>
      </c>
      <c r="F27" s="37" t="s">
        <v>118</v>
      </c>
      <c r="G27" s="37"/>
      <c r="H27" s="36"/>
      <c r="I27" s="52"/>
      <c r="J27" s="66"/>
      <c r="K27" s="67"/>
      <c r="L27" s="40"/>
      <c r="M27" s="20"/>
      <c r="O27" s="21"/>
      <c r="P27" s="15"/>
      <c r="Q27" s="15"/>
      <c r="S27" s="22"/>
      <c r="T27" s="22"/>
    </row>
    <row r="28" spans="1:20" ht="17.45" customHeight="1">
      <c r="A28" s="1"/>
      <c r="B28" s="402"/>
      <c r="C28" s="37" t="s">
        <v>54</v>
      </c>
      <c r="D28" s="36">
        <f>J8*J5</f>
        <v>-134796682938.85034</v>
      </c>
      <c r="E28" s="36">
        <f>J7*J6</f>
        <v>-134795995162.66335</v>
      </c>
      <c r="F28" s="36">
        <f>D22*J15</f>
        <v>-687789.44940376282</v>
      </c>
      <c r="G28" s="37"/>
      <c r="H28" s="36"/>
      <c r="I28" s="36"/>
      <c r="J28" s="68">
        <f>ROUND((D28-E28-F28)/E24,6)</f>
        <v>-2.349E-3</v>
      </c>
      <c r="K28" s="67" t="s">
        <v>54</v>
      </c>
      <c r="L28" s="38"/>
      <c r="M28" s="20"/>
      <c r="O28" s="21"/>
      <c r="P28" s="15"/>
      <c r="Q28" s="15"/>
      <c r="S28" s="22"/>
      <c r="T28" s="22"/>
    </row>
    <row r="29" spans="1:20" ht="17.45" customHeight="1">
      <c r="A29" s="1"/>
      <c r="B29" s="402"/>
      <c r="C29" s="37"/>
      <c r="D29" s="37" t="s">
        <v>55</v>
      </c>
      <c r="E29" s="37" t="s">
        <v>22</v>
      </c>
      <c r="F29" s="37" t="s">
        <v>24</v>
      </c>
      <c r="G29" s="37"/>
      <c r="H29" s="36"/>
      <c r="I29" s="36"/>
      <c r="J29" s="68"/>
      <c r="K29" s="67"/>
      <c r="L29" s="38"/>
      <c r="M29" s="20"/>
      <c r="O29" s="21"/>
      <c r="P29" s="15"/>
      <c r="Q29" s="15"/>
      <c r="S29" s="22"/>
      <c r="T29" s="22"/>
    </row>
    <row r="30" spans="1:20" ht="17.45" customHeight="1">
      <c r="A30" s="1"/>
      <c r="B30" s="402"/>
      <c r="C30" s="37" t="s">
        <v>56</v>
      </c>
      <c r="D30" s="36">
        <f>J5</f>
        <v>244481.91099999999</v>
      </c>
      <c r="E30" s="36">
        <f>J7</f>
        <v>244480.47999999998</v>
      </c>
      <c r="F30" s="36">
        <f>J8</f>
        <v>-551356.46799999999</v>
      </c>
      <c r="G30" s="37"/>
      <c r="H30" s="36"/>
      <c r="I30" s="52"/>
      <c r="J30" s="52">
        <f>ROUNDDOWN((D30-J26*E30-J28*F30)/D22,3)</f>
        <v>-354.68599999999998</v>
      </c>
      <c r="K30" s="67" t="s">
        <v>57</v>
      </c>
      <c r="L30" s="40"/>
      <c r="M30" s="20"/>
      <c r="O30" s="21"/>
      <c r="P30" s="15"/>
      <c r="Q30" s="15"/>
      <c r="S30" s="22"/>
      <c r="T30" s="22"/>
    </row>
    <row r="31" spans="1:20" ht="17.45" customHeight="1">
      <c r="A31" s="1"/>
      <c r="B31" s="402"/>
      <c r="C31" s="37"/>
      <c r="D31" s="37" t="s">
        <v>58</v>
      </c>
      <c r="E31" s="37" t="s">
        <v>22</v>
      </c>
      <c r="F31" s="37" t="s">
        <v>24</v>
      </c>
      <c r="G31" s="37"/>
      <c r="H31" s="36"/>
      <c r="I31" s="52"/>
      <c r="J31" s="52"/>
      <c r="K31" s="67"/>
      <c r="L31" s="40"/>
      <c r="M31" s="20"/>
      <c r="O31" s="21"/>
      <c r="P31" s="15"/>
      <c r="Q31" s="15"/>
      <c r="S31" s="22"/>
      <c r="T31" s="22"/>
    </row>
    <row r="32" spans="1:20" ht="17.45" customHeight="1">
      <c r="A32" s="1"/>
      <c r="B32" s="402"/>
      <c r="C32" s="37" t="s">
        <v>59</v>
      </c>
      <c r="D32" s="36">
        <f>J6</f>
        <v>-551356.88199999998</v>
      </c>
      <c r="E32" s="36">
        <f>J7</f>
        <v>244480.47999999998</v>
      </c>
      <c r="F32" s="36">
        <f>J8</f>
        <v>-551356.46799999999</v>
      </c>
      <c r="G32" s="37"/>
      <c r="H32" s="36"/>
      <c r="I32" s="52"/>
      <c r="J32" s="52">
        <f>ROUNDDOWN(((D32+J28*E32-J26*F32)/D22),3)</f>
        <v>217.846</v>
      </c>
      <c r="K32" s="67" t="s">
        <v>60</v>
      </c>
      <c r="L32" s="40"/>
      <c r="M32" s="20"/>
      <c r="O32" s="21"/>
      <c r="P32" s="15"/>
      <c r="Q32" s="15"/>
      <c r="S32" s="22"/>
      <c r="T32" s="22"/>
    </row>
    <row r="33" spans="1:20" ht="17.45" customHeight="1">
      <c r="A33" s="1"/>
      <c r="B33" s="402"/>
      <c r="C33" s="37"/>
      <c r="D33" s="36"/>
      <c r="E33" s="36"/>
      <c r="F33" s="36"/>
      <c r="G33" s="37"/>
      <c r="H33" s="36"/>
      <c r="I33" s="52"/>
      <c r="J33" s="52"/>
      <c r="K33" s="67"/>
      <c r="L33" s="40"/>
      <c r="M33" s="20"/>
      <c r="O33" s="21"/>
      <c r="P33" s="15"/>
      <c r="Q33" s="15"/>
      <c r="S33" s="22"/>
      <c r="T33" s="22"/>
    </row>
    <row r="34" spans="1:20" ht="17.45" customHeight="1">
      <c r="A34" s="1"/>
      <c r="B34" s="402"/>
      <c r="C34" s="37" t="s">
        <v>61</v>
      </c>
      <c r="D34" s="69" t="s">
        <v>62</v>
      </c>
      <c r="E34" s="68">
        <f>ROUNDDOWN(SQRT(J26^2+J28^2),6)</f>
        <v>1.0034149999999999</v>
      </c>
      <c r="F34" s="36"/>
      <c r="G34" s="37"/>
      <c r="H34" s="36"/>
      <c r="I34" s="52"/>
      <c r="J34" s="66"/>
      <c r="K34" s="67"/>
      <c r="L34" s="40"/>
      <c r="M34" s="20"/>
      <c r="O34" s="21"/>
      <c r="P34" s="15"/>
      <c r="Q34" s="15"/>
      <c r="S34" s="22"/>
      <c r="T34" s="22"/>
    </row>
    <row r="35" spans="1:20" ht="17.45" customHeight="1" thickBot="1">
      <c r="A35" s="1"/>
      <c r="B35" s="404"/>
      <c r="C35" s="37"/>
      <c r="D35" s="36"/>
      <c r="E35" s="70"/>
      <c r="F35" s="36"/>
      <c r="G35" s="36"/>
      <c r="H35" s="36"/>
      <c r="I35" s="52"/>
      <c r="J35" s="71"/>
      <c r="K35" s="65"/>
      <c r="L35" s="40"/>
      <c r="M35" s="20"/>
      <c r="O35" s="21"/>
      <c r="P35" s="15"/>
      <c r="Q35" s="15"/>
      <c r="S35" s="22"/>
      <c r="T35" s="22"/>
    </row>
    <row r="36" spans="1:20" ht="17.45" customHeight="1">
      <c r="A36" s="1"/>
      <c r="B36" s="405" t="s">
        <v>63</v>
      </c>
      <c r="C36" s="408" t="s">
        <v>64</v>
      </c>
      <c r="D36" s="408"/>
      <c r="E36" s="72" t="s">
        <v>65</v>
      </c>
      <c r="F36" s="73"/>
      <c r="G36" s="74" t="s">
        <v>66</v>
      </c>
      <c r="H36" s="75">
        <f>ROUND(COS(RADIANS(E37)),6)</f>
        <v>0.99999700000000002</v>
      </c>
      <c r="I36" s="76"/>
      <c r="J36" s="77" t="s">
        <v>67</v>
      </c>
      <c r="K36" s="77" t="s">
        <v>68</v>
      </c>
      <c r="L36" s="78" t="s">
        <v>69</v>
      </c>
      <c r="M36" s="20"/>
      <c r="O36" s="21"/>
      <c r="S36" s="22"/>
      <c r="T36" s="22"/>
    </row>
    <row r="37" spans="1:20" ht="17.45" customHeight="1">
      <c r="A37" s="1"/>
      <c r="B37" s="406"/>
      <c r="C37" s="79"/>
      <c r="D37" s="80"/>
      <c r="E37" s="81">
        <f>ROUND(DEGREES(ATAN(J28/J26)),6)</f>
        <v>-0.13413</v>
      </c>
      <c r="F37" s="82"/>
      <c r="G37" s="83" t="s">
        <v>70</v>
      </c>
      <c r="H37" s="84">
        <f>ROUND(SIN(RADIANS(E37)),6)</f>
        <v>-2.3410000000000002E-3</v>
      </c>
      <c r="I37" s="85" t="s">
        <v>71</v>
      </c>
      <c r="J37" s="86">
        <f>INT(ABS(E37*3600)/3600)</f>
        <v>0</v>
      </c>
      <c r="K37" s="86">
        <f>INT((INT(ABS(E37*3600)-J37*3600)/60))</f>
        <v>8</v>
      </c>
      <c r="L37" s="87">
        <f>(ABS(E37*3600)-J37*3600-K37*60)</f>
        <v>2.867999999999995</v>
      </c>
      <c r="M37" s="20"/>
      <c r="O37" s="21"/>
      <c r="P37" s="15"/>
      <c r="Q37" s="15"/>
      <c r="S37" s="22"/>
      <c r="T37" s="22"/>
    </row>
    <row r="38" spans="1:20" ht="17.45" customHeight="1">
      <c r="A38" s="1"/>
      <c r="B38" s="406"/>
      <c r="C38" s="409" t="s">
        <v>72</v>
      </c>
      <c r="D38" s="409"/>
      <c r="E38" s="82" t="s">
        <v>73</v>
      </c>
      <c r="F38" s="82"/>
      <c r="G38" s="88" t="s">
        <v>74</v>
      </c>
      <c r="H38" s="84">
        <f>ROUND(COS(RADIANS(E39)),6)</f>
        <v>0.52336099999999997</v>
      </c>
      <c r="I38" s="89"/>
      <c r="J38" s="37" t="s">
        <v>67</v>
      </c>
      <c r="K38" s="37" t="s">
        <v>68</v>
      </c>
      <c r="L38" s="90" t="s">
        <v>69</v>
      </c>
      <c r="M38" s="20"/>
      <c r="O38" s="21"/>
      <c r="S38" s="22"/>
      <c r="T38" s="22"/>
    </row>
    <row r="39" spans="1:20" ht="17.45" customHeight="1" thickBot="1">
      <c r="A39" s="1"/>
      <c r="B39" s="407"/>
      <c r="C39" s="91"/>
      <c r="D39" s="91"/>
      <c r="E39" s="92">
        <f>ROUND(DEGREES(ATAN(J30/J32)),6)</f>
        <v>-58.442005000000002</v>
      </c>
      <c r="F39" s="93"/>
      <c r="G39" s="94" t="s">
        <v>75</v>
      </c>
      <c r="H39" s="95">
        <f>ROUND(SIN(RADIANS(E39)),6)</f>
        <v>-0.85211099999999995</v>
      </c>
      <c r="I39" s="96" t="s">
        <v>71</v>
      </c>
      <c r="J39" s="97">
        <f>INT(ABS(E39*3600)/3600)</f>
        <v>58</v>
      </c>
      <c r="K39" s="97">
        <f>INT((INT(ABS(E39*3600)-J39*3600)/60))</f>
        <v>26</v>
      </c>
      <c r="L39" s="98">
        <f>(ABS(E39*3600)-J39*3600-K39*60)</f>
        <v>31.217999999993481</v>
      </c>
      <c r="M39" s="20"/>
      <c r="O39" s="21"/>
      <c r="P39" s="15"/>
      <c r="Q39" s="15"/>
      <c r="S39" s="22"/>
      <c r="T39" s="22"/>
    </row>
    <row r="40" spans="1:20" ht="32.450000000000003" customHeight="1">
      <c r="A40" s="1"/>
      <c r="B40" s="99"/>
      <c r="C40" s="100"/>
      <c r="D40" s="101"/>
      <c r="E40" s="100"/>
      <c r="F40" s="102"/>
      <c r="G40" s="103"/>
      <c r="H40" s="104"/>
      <c r="I40" s="105"/>
      <c r="J40" s="106"/>
      <c r="K40" s="107"/>
      <c r="L40" s="108"/>
      <c r="M40" s="20"/>
      <c r="O40" s="21"/>
      <c r="P40" s="15"/>
      <c r="Q40" s="15"/>
      <c r="S40" s="22"/>
      <c r="T40" s="22"/>
    </row>
    <row r="41" spans="1:20" ht="34.9" customHeight="1">
      <c r="A41" s="1"/>
      <c r="B41" s="8"/>
      <c r="C41" s="1"/>
      <c r="D41" s="1"/>
      <c r="E41" s="1"/>
      <c r="F41" s="109"/>
      <c r="G41" s="110"/>
      <c r="H41" s="111"/>
      <c r="I41" s="112"/>
      <c r="J41" s="8"/>
      <c r="K41" s="8"/>
      <c r="L41" s="113"/>
      <c r="M41" s="20"/>
      <c r="O41" s="21"/>
      <c r="P41" s="15"/>
      <c r="Q41" s="15"/>
      <c r="S41" s="22"/>
      <c r="T41" s="22"/>
    </row>
    <row r="42" spans="1:20" ht="59.45" customHeight="1" thickBot="1">
      <c r="A42" s="1"/>
      <c r="B42" s="114"/>
      <c r="C42" s="115"/>
      <c r="D42" s="410" t="s">
        <v>76</v>
      </c>
      <c r="E42" s="410"/>
      <c r="F42" s="410"/>
      <c r="G42" s="410"/>
      <c r="H42" s="410"/>
      <c r="I42" s="410"/>
      <c r="J42" s="410"/>
      <c r="K42" s="116">
        <f ca="1">TODAY()</f>
        <v>45779</v>
      </c>
      <c r="L42" s="117"/>
      <c r="M42" s="20"/>
      <c r="O42" s="21"/>
      <c r="P42" s="15"/>
      <c r="Q42" s="15"/>
      <c r="S42" s="22"/>
      <c r="T42" s="22"/>
    </row>
    <row r="43" spans="1:20" ht="29.45" customHeight="1" thickBot="1">
      <c r="A43" s="1"/>
      <c r="B43" s="118"/>
      <c r="C43" s="119"/>
      <c r="D43" s="394" t="s">
        <v>77</v>
      </c>
      <c r="E43" s="395"/>
      <c r="F43" s="394" t="s">
        <v>78</v>
      </c>
      <c r="G43" s="395"/>
      <c r="H43" s="394" t="s">
        <v>79</v>
      </c>
      <c r="I43" s="395"/>
      <c r="J43" s="394" t="s">
        <v>80</v>
      </c>
      <c r="K43" s="395"/>
      <c r="L43" s="396" t="s">
        <v>81</v>
      </c>
      <c r="M43" s="20"/>
      <c r="O43" s="21"/>
      <c r="P43" s="15"/>
      <c r="Q43" s="15"/>
      <c r="S43" s="22"/>
      <c r="T43" s="22"/>
    </row>
    <row r="44" spans="1:20" ht="28.9" customHeight="1">
      <c r="A44" s="1"/>
      <c r="B44" s="120"/>
      <c r="C44" s="121" t="s">
        <v>82</v>
      </c>
      <c r="D44" s="122" t="s">
        <v>83</v>
      </c>
      <c r="E44" s="123" t="s">
        <v>84</v>
      </c>
      <c r="F44" s="124" t="s">
        <v>83</v>
      </c>
      <c r="G44" s="125" t="s">
        <v>84</v>
      </c>
      <c r="H44" s="122" t="s">
        <v>83</v>
      </c>
      <c r="I44" s="123" t="s">
        <v>84</v>
      </c>
      <c r="J44" s="126" t="s">
        <v>85</v>
      </c>
      <c r="K44" s="127" t="s">
        <v>86</v>
      </c>
      <c r="L44" s="397"/>
      <c r="M44" s="20"/>
      <c r="O44" s="21"/>
      <c r="P44" s="15"/>
      <c r="Q44" s="15"/>
      <c r="S44" s="22"/>
      <c r="T44" s="22"/>
    </row>
    <row r="45" spans="1:20" ht="21" customHeight="1">
      <c r="A45" s="1"/>
      <c r="B45" s="128">
        <v>1</v>
      </c>
      <c r="C45" s="230" t="str">
        <f>IF(変換入力画面!D7="","",変換入力画面!D7)</f>
        <v>K136</v>
      </c>
      <c r="D45" s="129">
        <f>IF(変換入力画面!E7="","",変換入力画面!E7)</f>
        <v>40751.207999999999</v>
      </c>
      <c r="E45" s="131">
        <f>IF(変換入力画面!F7="","",変換入力画面!F7)</f>
        <v>-91907.42</v>
      </c>
      <c r="F45" s="129">
        <f>IF(変換入力画面!G7="","",変換入力画面!G7)</f>
        <v>40751.440999999999</v>
      </c>
      <c r="G45" s="131">
        <f>IF(変換入力画面!H7="","",変換入力画面!H7)</f>
        <v>-91907.573000000004</v>
      </c>
      <c r="H45" s="132">
        <f>IF(変換入力画面!D7="","",ROUNDDOWN($J$26*D45+$J$28*E45+$J$30,3))</f>
        <v>40751.495999999999</v>
      </c>
      <c r="I45" s="133">
        <f>IF(変換入力画面!D7="","",ROUNDDOWN(-$J$28*D45+$J$26*E45+$J$32,3))</f>
        <v>-91907.528999999995</v>
      </c>
      <c r="J45" s="129">
        <f>IF(変換入力画面!D7="","",F45-H45)</f>
        <v>-5.5000000000291038E-2</v>
      </c>
      <c r="K45" s="131">
        <f>IF(変換入力画面!D7="","",G45-I45)</f>
        <v>-4.400000000896398E-2</v>
      </c>
      <c r="L45" s="134">
        <f>IF(変換入力画面!D7="","",ROUND(((J45^2+K45^2)),6))</f>
        <v>4.9610000000000001E-3</v>
      </c>
      <c r="M45" s="20"/>
      <c r="O45" s="21"/>
      <c r="P45" s="15"/>
      <c r="Q45" s="15"/>
      <c r="S45" s="22"/>
      <c r="T45" s="22"/>
    </row>
    <row r="46" spans="1:20" ht="21" customHeight="1">
      <c r="A46" s="1"/>
      <c r="B46" s="135">
        <v>2</v>
      </c>
      <c r="C46" s="230" t="str">
        <f>IF(変換入力画面!D8="","",変換入力画面!D8)</f>
        <v>K61</v>
      </c>
      <c r="D46" s="136">
        <f>IF(変換入力画面!E8="","",変換入力画面!E8)</f>
        <v>40763.1</v>
      </c>
      <c r="E46" s="138">
        <f>IF(変換入力画面!F8="","",変換入力画面!F8)</f>
        <v>-91896.176999999996</v>
      </c>
      <c r="F46" s="136">
        <f>IF(変換入力画面!G8="","",変換入力画面!G8)</f>
        <v>40763.387000000002</v>
      </c>
      <c r="G46" s="138">
        <f>IF(変換入力画面!H8="","",変換入力画面!H8)</f>
        <v>-91896.063999999998</v>
      </c>
      <c r="H46" s="139">
        <f>IF(変換入力画面!D8="","",ROUNDDOWN($J$26*D46+$J$28*E46+$J$30,3))</f>
        <v>40763.402000000002</v>
      </c>
      <c r="I46" s="140">
        <f>IF(変換入力画面!D8="","",ROUNDDOWN(-$J$28*D46+$J$26*E46+$J$32,3))</f>
        <v>-91896.22</v>
      </c>
      <c r="J46" s="136">
        <f>IF(変換入力画面!D8="","",F46-H46)</f>
        <v>-1.4999999999417923E-2</v>
      </c>
      <c r="K46" s="138">
        <f>IF(変換入力画面!D8="","",G46-I46)</f>
        <v>0.15600000000267755</v>
      </c>
      <c r="L46" s="141">
        <f>IF(変換入力画面!D8="","",ROUND(((J46^2+K46^2)),6))</f>
        <v>2.4560999999999999E-2</v>
      </c>
      <c r="M46" s="20"/>
      <c r="O46" s="21"/>
      <c r="P46" s="15"/>
      <c r="Q46" s="15"/>
      <c r="S46" s="22"/>
      <c r="T46" s="22"/>
    </row>
    <row r="47" spans="1:20" ht="21" customHeight="1">
      <c r="A47" s="1"/>
      <c r="B47" s="135">
        <v>3</v>
      </c>
      <c r="C47" s="230" t="str">
        <f>IF(変換入力画面!D9="","",変換入力画面!D9)</f>
        <v>K68</v>
      </c>
      <c r="D47" s="136">
        <f>IF(変換入力画面!E9="","",変換入力画面!E9)</f>
        <v>40746.485999999997</v>
      </c>
      <c r="E47" s="138">
        <f>IF(変換入力画面!F9="","",変換入力画面!F9)</f>
        <v>-91883.832999999999</v>
      </c>
      <c r="F47" s="136">
        <f>IF(変換入力画面!G9="","",変換入力画面!G9)</f>
        <v>40746.894</v>
      </c>
      <c r="G47" s="138">
        <f>IF(変換入力画面!H9="","",変換入力画面!H9)</f>
        <v>-91883.892000000007</v>
      </c>
      <c r="H47" s="139">
        <f>IF(変換入力画面!D9="","",ROUNDDOWN($J$26*D47+$J$28*E47+$J$30,3))</f>
        <v>40746.701999999997</v>
      </c>
      <c r="I47" s="140">
        <f>IF(変換入力画面!D9="","",ROUNDDOWN(-$J$28*D47+$J$26*E47+$J$32,3))</f>
        <v>-91883.873000000007</v>
      </c>
      <c r="J47" s="136">
        <f>IF(変換入力画面!D9="","",F47-H47)</f>
        <v>0.19200000000273576</v>
      </c>
      <c r="K47" s="138">
        <f>IF(変換入力画面!D9="","",G47-I47)</f>
        <v>-1.9000000000232831E-2</v>
      </c>
      <c r="L47" s="141">
        <f>IF(変換入力画面!D9="","",ROUND(((J47^2+K47^2)),6))</f>
        <v>3.7225000000000001E-2</v>
      </c>
      <c r="M47" s="20"/>
      <c r="O47" s="21"/>
      <c r="P47" s="15"/>
      <c r="Q47" s="15"/>
      <c r="S47" s="22"/>
      <c r="T47" s="22"/>
    </row>
    <row r="48" spans="1:20" ht="21" customHeight="1">
      <c r="A48" s="1"/>
      <c r="B48" s="135">
        <v>4</v>
      </c>
      <c r="C48" s="230" t="str">
        <f>IF(変換入力画面!D10="","",変換入力画面!D10)</f>
        <v>K62</v>
      </c>
      <c r="D48" s="136">
        <f>IF(変換入力画面!E10="","",変換入力画面!E10)</f>
        <v>40743.476999999999</v>
      </c>
      <c r="E48" s="138">
        <f>IF(変換入力画面!F10="","",変換入力画面!F10)</f>
        <v>-91881.240999999995</v>
      </c>
      <c r="F48" s="136">
        <f>IF(変換入力画面!G10="","",変換入力画面!G10)</f>
        <v>40743.688000000002</v>
      </c>
      <c r="G48" s="138">
        <f>IF(変換入力画面!H10="","",変換入力画面!H10)</f>
        <v>-91881.32</v>
      </c>
      <c r="H48" s="139">
        <f>IF(変換入力画面!D10="","",ROUNDDOWN($J$26*D48+$J$28*E48+$J$30,3))</f>
        <v>40743.677000000003</v>
      </c>
      <c r="I48" s="140">
        <f>IF(変換入力画面!D10="","",ROUNDDOWN(-$J$28*D48+$J$26*E48+$J$32,3))</f>
        <v>-91881.278999999995</v>
      </c>
      <c r="J48" s="136">
        <f>IF(変換入力画面!D10="","",F48-H48)</f>
        <v>1.0999999998603016E-2</v>
      </c>
      <c r="K48" s="138">
        <f>IF(変換入力画面!D10="","",G48-I48)</f>
        <v>-4.1000000011990778E-2</v>
      </c>
      <c r="L48" s="141">
        <f>IF(変換入力画面!D10="","",ROUND(((J48^2+K48^2)),6))</f>
        <v>1.802E-3</v>
      </c>
      <c r="M48" s="20"/>
      <c r="O48" s="21"/>
      <c r="P48" s="15"/>
      <c r="Q48" s="15"/>
      <c r="S48" s="22"/>
      <c r="T48" s="22"/>
    </row>
    <row r="49" spans="1:20" ht="21" customHeight="1">
      <c r="A49" s="1"/>
      <c r="B49" s="135">
        <v>5</v>
      </c>
      <c r="C49" s="230" t="str">
        <f>IF(変換入力画面!D11="","",変換入力画面!D11)</f>
        <v>K101</v>
      </c>
      <c r="D49" s="136">
        <f>IF(変換入力画面!E11="","",変換入力画面!E11)</f>
        <v>40734.370999999999</v>
      </c>
      <c r="E49" s="138">
        <f>IF(変換入力画面!F11="","",変換入力画面!F11)</f>
        <v>-91890.438999999998</v>
      </c>
      <c r="F49" s="136">
        <f>IF(変換入力画面!G11="","",変換入力画面!G11)</f>
        <v>40734.506000000001</v>
      </c>
      <c r="G49" s="138">
        <f>IF(変換入力画面!H11="","",変換入力画面!H11)</f>
        <v>-91890.554000000004</v>
      </c>
      <c r="H49" s="139">
        <f>IF(変換入力画面!D11="","",ROUNDDOWN($J$26*D49+$J$28*E49+$J$30,3))</f>
        <v>40734.561999999998</v>
      </c>
      <c r="I49" s="140">
        <f>IF(変換入力画面!D11="","",ROUNDDOWN(-$J$28*D49+$J$26*E49+$J$32,3))</f>
        <v>-91890.53</v>
      </c>
      <c r="J49" s="136">
        <f>IF(変換入力画面!D11="","",F49-H49)</f>
        <v>-5.5999999996856786E-2</v>
      </c>
      <c r="K49" s="138">
        <f>IF(変換入力画面!D11="","",G49-I49)</f>
        <v>-2.4000000004889444E-2</v>
      </c>
      <c r="L49" s="141">
        <f>IF(変換入力画面!D11="","",ROUND(((J49^2+K49^2)),6))</f>
        <v>3.712E-3</v>
      </c>
      <c r="M49" s="20"/>
      <c r="O49" s="21"/>
      <c r="P49" s="15"/>
      <c r="Q49" s="15"/>
      <c r="S49" s="22"/>
      <c r="T49" s="22"/>
    </row>
    <row r="50" spans="1:20" ht="21" customHeight="1">
      <c r="A50" s="1"/>
      <c r="B50" s="142">
        <v>6</v>
      </c>
      <c r="C50" s="230" t="str">
        <f>IF(変換入力画面!D12="","",変換入力画面!D12)</f>
        <v>K112</v>
      </c>
      <c r="D50" s="143">
        <f>IF(変換入力画面!E12="","",変換入力画面!E12)</f>
        <v>40741.838000000003</v>
      </c>
      <c r="E50" s="144">
        <f>IF(変換入力画面!F12="","",変換入力画面!F12)</f>
        <v>-91897.357999999993</v>
      </c>
      <c r="F50" s="143">
        <f>IF(変換入力画面!G12="","",変換入力画面!G12)</f>
        <v>40741.995000000003</v>
      </c>
      <c r="G50" s="144">
        <f>IF(変換入力画面!H12="","",変換入力画面!H12)</f>
        <v>-91897.479000000007</v>
      </c>
      <c r="H50" s="145">
        <f>IF(変換入力画面!D12="","",ROUNDDOWN($J$26*D50+$J$28*E50+$J$30,3))</f>
        <v>40742.07</v>
      </c>
      <c r="I50" s="146">
        <f>IF(変換入力画面!D12="","",ROUNDDOWN(-$J$28*D50+$J$26*E50+$J$32,3))</f>
        <v>-91897.455000000002</v>
      </c>
      <c r="J50" s="143">
        <f>IF(変換入力画面!D12="","",F50-H50)</f>
        <v>-7.4999999997089617E-2</v>
      </c>
      <c r="K50" s="144">
        <f>IF(変換入力画面!D12="","",G50-I50)</f>
        <v>-2.4000000004889444E-2</v>
      </c>
      <c r="L50" s="149">
        <f>IF(変換入力画面!D12="","",ROUND(((J50^2+K50^2)),6))</f>
        <v>6.2009999999999999E-3</v>
      </c>
      <c r="M50" s="20"/>
      <c r="O50" s="21"/>
      <c r="P50" s="15"/>
      <c r="Q50" s="15"/>
      <c r="S50" s="22"/>
      <c r="T50" s="22"/>
    </row>
    <row r="51" spans="1:20" ht="21" customHeight="1">
      <c r="A51" s="1"/>
      <c r="B51" s="150"/>
      <c r="C51" s="151" t="s">
        <v>82</v>
      </c>
      <c r="D51" s="152" t="s">
        <v>83</v>
      </c>
      <c r="E51" s="153" t="s">
        <v>84</v>
      </c>
      <c r="F51" s="154" t="s">
        <v>83</v>
      </c>
      <c r="G51" s="155" t="s">
        <v>84</v>
      </c>
      <c r="H51" s="156" t="s">
        <v>87</v>
      </c>
      <c r="I51" s="157" t="s">
        <v>88</v>
      </c>
      <c r="J51" s="158" t="s">
        <v>85</v>
      </c>
      <c r="K51" s="159" t="s">
        <v>86</v>
      </c>
      <c r="L51" s="160" t="s">
        <v>81</v>
      </c>
      <c r="M51" s="20"/>
      <c r="O51" s="21"/>
      <c r="P51" s="15"/>
      <c r="Q51" s="15"/>
      <c r="S51" s="22"/>
      <c r="T51" s="22"/>
    </row>
    <row r="52" spans="1:20" ht="21" customHeight="1">
      <c r="A52" s="1"/>
      <c r="B52" s="161">
        <v>1</v>
      </c>
      <c r="C52" s="230" t="str">
        <f>IF(変換入力画面!D16="","",変換入力画面!D16)</f>
        <v>4-408</v>
      </c>
      <c r="D52" s="162">
        <f>IF(変換入力画面!E16="","",変換入力画面!E16)</f>
        <v>40770.720000000001</v>
      </c>
      <c r="E52" s="163">
        <f>IF(変換入力画面!F16="","",変換入力画面!F16)</f>
        <v>-91899.679000000004</v>
      </c>
      <c r="F52" s="132" t="str">
        <f>IF(変換入力画面!G16="","",変換入力画面!G16)</f>
        <v/>
      </c>
      <c r="G52" s="133" t="str">
        <f>IF(変換入力画面!H16="","",変換入力画面!H16)</f>
        <v/>
      </c>
      <c r="H52" s="132">
        <f>IF(変換入力画面!D16="","",ROUNDDOWN($J$26*D52+$J$28*E52+$J$30,3))</f>
        <v>40771.055999999997</v>
      </c>
      <c r="I52" s="133">
        <f>IF(変換入力画面!D16="","",ROUNDDOWN(-$J$28*D52+$J$26*E52+$J$32,3))</f>
        <v>-91899.716</v>
      </c>
      <c r="J52" s="129" t="str">
        <f>IF(F52="","",F52-H52)</f>
        <v/>
      </c>
      <c r="K52" s="130" t="str">
        <f>IF(G52="","",G52-I52)</f>
        <v/>
      </c>
      <c r="L52" s="134" t="str">
        <f>IF(F52="","",ROUND((J52^2+K52^2),6))</f>
        <v/>
      </c>
      <c r="M52" s="20"/>
      <c r="O52" s="21"/>
      <c r="P52" s="15"/>
      <c r="Q52" s="15"/>
      <c r="S52" s="22"/>
      <c r="T52" s="22"/>
    </row>
    <row r="53" spans="1:20" ht="21" customHeight="1">
      <c r="A53" s="1"/>
      <c r="B53" s="135">
        <v>2</v>
      </c>
      <c r="C53" s="230" t="str">
        <f>IF(変換入力画面!D17="","",変換入力画面!D17)</f>
        <v>4-409</v>
      </c>
      <c r="D53" s="162">
        <f>IF(変換入力画面!E17="","",変換入力画面!E17)</f>
        <v>40751.707999999999</v>
      </c>
      <c r="E53" s="163">
        <f>IF(変換入力画面!F17="","",変換入力画面!F17)</f>
        <v>-91890.183999999994</v>
      </c>
      <c r="F53" s="139" t="str">
        <f>IF(変換入力画面!G17="","",変換入力画面!G17)</f>
        <v/>
      </c>
      <c r="G53" s="140" t="str">
        <f>IF(変換入力画面!H17="","",変換入力画面!H17)</f>
        <v/>
      </c>
      <c r="H53" s="139">
        <f>IF(変換入力画面!D17="","",ROUNDDOWN($J$26*D53+$J$28*E53+$J$30,3))</f>
        <v>40751.957000000002</v>
      </c>
      <c r="I53" s="140">
        <f>IF(変換入力画面!D17="","",ROUNDDOWN(-$J$28*D53+$J$26*E53+$J$32,3))</f>
        <v>-91890.232999999993</v>
      </c>
      <c r="J53" s="136" t="str">
        <f t="shared" ref="J53:K57" si="11">IF(F53="","",F53-H53)</f>
        <v/>
      </c>
      <c r="K53" s="137" t="str">
        <f t="shared" si="11"/>
        <v/>
      </c>
      <c r="L53" s="141" t="str">
        <f t="shared" ref="L53:L57" si="12">IF(F53="","",ROUND((J53^2+K53^2),6))</f>
        <v/>
      </c>
      <c r="M53" s="20"/>
      <c r="O53" s="21"/>
      <c r="P53" s="15"/>
      <c r="Q53" s="15"/>
      <c r="S53" s="22"/>
      <c r="T53" s="22"/>
    </row>
    <row r="54" spans="1:20" ht="21" customHeight="1">
      <c r="A54" s="1"/>
      <c r="B54" s="135">
        <v>3</v>
      </c>
      <c r="C54" s="230" t="str">
        <f>IF(変換入力画面!D18="","",変換入力画面!D18)</f>
        <v/>
      </c>
      <c r="D54" s="162" t="str">
        <f>IF(変換入力画面!E18="","",変換入力画面!E18)</f>
        <v/>
      </c>
      <c r="E54" s="163" t="str">
        <f>IF(変換入力画面!F18="","",変換入力画面!F18)</f>
        <v/>
      </c>
      <c r="F54" s="139" t="str">
        <f>IF(変換入力画面!G18="","",変換入力画面!G18)</f>
        <v/>
      </c>
      <c r="G54" s="140" t="str">
        <f>IF(変換入力画面!H18="","",変換入力画面!H18)</f>
        <v/>
      </c>
      <c r="H54" s="139" t="str">
        <f>IF(変換入力画面!D18="","",ROUNDDOWN($J$26*D54+$J$28*E54+$J$30,3))</f>
        <v/>
      </c>
      <c r="I54" s="140" t="str">
        <f>IF(変換入力画面!D18="","",ROUNDDOWN(-$J$28*D54+$J$26*E54+$J$32,3))</f>
        <v/>
      </c>
      <c r="J54" s="136" t="str">
        <f t="shared" si="11"/>
        <v/>
      </c>
      <c r="K54" s="137" t="str">
        <f t="shared" si="11"/>
        <v/>
      </c>
      <c r="L54" s="141" t="str">
        <f t="shared" si="12"/>
        <v/>
      </c>
      <c r="M54" s="20"/>
      <c r="O54" s="21"/>
      <c r="P54" s="15"/>
      <c r="Q54" s="15"/>
      <c r="S54" s="22"/>
      <c r="T54" s="22"/>
    </row>
    <row r="55" spans="1:20" ht="21" customHeight="1">
      <c r="A55" s="1"/>
      <c r="B55" s="135">
        <v>4</v>
      </c>
      <c r="C55" s="230" t="str">
        <f>IF(変換入力画面!D19="","",変換入力画面!D19)</f>
        <v/>
      </c>
      <c r="D55" s="162" t="str">
        <f>IF(変換入力画面!E19="","",変換入力画面!E19)</f>
        <v/>
      </c>
      <c r="E55" s="163" t="str">
        <f>IF(変換入力画面!F19="","",変換入力画面!F19)</f>
        <v/>
      </c>
      <c r="F55" s="139" t="str">
        <f>IF(変換入力画面!G19="","",変換入力画面!G19)</f>
        <v/>
      </c>
      <c r="G55" s="140" t="str">
        <f>IF(変換入力画面!H19="","",変換入力画面!H19)</f>
        <v/>
      </c>
      <c r="H55" s="139" t="str">
        <f>IF(変換入力画面!D19="","",ROUNDDOWN($J$26*D55+$J$28*E55+$J$30,3))</f>
        <v/>
      </c>
      <c r="I55" s="140" t="str">
        <f>IF(変換入力画面!D19="","",ROUNDDOWN(-$J$28*D55+$J$26*E55+$J$32,3))</f>
        <v/>
      </c>
      <c r="J55" s="136" t="str">
        <f t="shared" si="11"/>
        <v/>
      </c>
      <c r="K55" s="137" t="str">
        <f t="shared" si="11"/>
        <v/>
      </c>
      <c r="L55" s="141" t="str">
        <f t="shared" si="12"/>
        <v/>
      </c>
      <c r="M55" s="20"/>
      <c r="O55" s="21"/>
      <c r="P55" s="15"/>
      <c r="Q55" s="15"/>
      <c r="S55" s="22"/>
      <c r="T55" s="22"/>
    </row>
    <row r="56" spans="1:20" ht="21" customHeight="1">
      <c r="A56" s="1"/>
      <c r="B56" s="135">
        <v>5</v>
      </c>
      <c r="C56" s="230" t="str">
        <f>IF(変換入力画面!D20="","",変換入力画面!D20)</f>
        <v/>
      </c>
      <c r="D56" s="162" t="str">
        <f>IF(変換入力画面!E20="","",変換入力画面!E20)</f>
        <v/>
      </c>
      <c r="E56" s="163" t="str">
        <f>IF(変換入力画面!F20="","",変換入力画面!F20)</f>
        <v/>
      </c>
      <c r="F56" s="139" t="str">
        <f>IF(変換入力画面!G20="","",変換入力画面!G20)</f>
        <v/>
      </c>
      <c r="G56" s="140" t="str">
        <f>IF(変換入力画面!H20="","",変換入力画面!H20)</f>
        <v/>
      </c>
      <c r="H56" s="139" t="str">
        <f>IF(変換入力画面!D20="","",ROUNDDOWN($J$26*D56+$J$28*E56+$J$30,3))</f>
        <v/>
      </c>
      <c r="I56" s="140" t="str">
        <f>IF(変換入力画面!D20="","",ROUNDDOWN(-$J$28*D56+$J$26*E56+$J$32,3))</f>
        <v/>
      </c>
      <c r="J56" s="136" t="str">
        <f t="shared" si="11"/>
        <v/>
      </c>
      <c r="K56" s="137" t="str">
        <f t="shared" si="11"/>
        <v/>
      </c>
      <c r="L56" s="141" t="str">
        <f t="shared" si="12"/>
        <v/>
      </c>
      <c r="M56" s="20"/>
      <c r="O56" s="21"/>
      <c r="P56" s="15"/>
      <c r="Q56" s="15"/>
      <c r="S56" s="22"/>
      <c r="T56" s="22"/>
    </row>
    <row r="57" spans="1:20" ht="21" customHeight="1">
      <c r="A57" s="1"/>
      <c r="B57" s="135">
        <v>6</v>
      </c>
      <c r="C57" s="230" t="str">
        <f>IF(変換入力画面!D21="","",変換入力画面!D21)</f>
        <v/>
      </c>
      <c r="D57" s="162" t="str">
        <f>IF(変換入力画面!E21="","",変換入力画面!E21)</f>
        <v/>
      </c>
      <c r="E57" s="163" t="str">
        <f>IF(変換入力画面!F21="","",変換入力画面!F21)</f>
        <v/>
      </c>
      <c r="F57" s="139" t="str">
        <f>IF(変換入力画面!G21="","",変換入力画面!G21)</f>
        <v/>
      </c>
      <c r="G57" s="140" t="str">
        <f>IF(変換入力画面!H21="","",変換入力画面!H21)</f>
        <v/>
      </c>
      <c r="H57" s="139" t="str">
        <f>IF(変換入力画面!D21="","",ROUNDDOWN($J$26*D57+$J$28*E57+$J$30,3))</f>
        <v/>
      </c>
      <c r="I57" s="140" t="str">
        <f>IF(変換入力画面!D21="","",ROUNDDOWN(-$J$28*D57+$J$26*E57+$J$32,3))</f>
        <v/>
      </c>
      <c r="J57" s="136" t="str">
        <f t="shared" si="11"/>
        <v/>
      </c>
      <c r="K57" s="137" t="str">
        <f t="shared" si="11"/>
        <v/>
      </c>
      <c r="L57" s="141" t="str">
        <f t="shared" si="12"/>
        <v/>
      </c>
      <c r="M57" s="20"/>
      <c r="O57" s="21"/>
      <c r="P57" s="15"/>
      <c r="Q57" s="15"/>
      <c r="S57" s="22"/>
      <c r="T57" s="22"/>
    </row>
    <row r="58" spans="1:20" ht="22.15" customHeight="1">
      <c r="A58" s="1"/>
      <c r="B58" s="164">
        <v>7</v>
      </c>
      <c r="C58" s="230" t="str">
        <f>IF(変換入力画面!D22="","",変換入力画面!D22)</f>
        <v/>
      </c>
      <c r="D58" s="162" t="str">
        <f>IF(変換入力画面!E22="","",変換入力画面!E22)</f>
        <v/>
      </c>
      <c r="E58" s="163" t="str">
        <f>IF(変換入力画面!F22="","",変換入力画面!F22)</f>
        <v/>
      </c>
      <c r="F58" s="139" t="str">
        <f>IF(変換入力画面!G22="","",変換入力画面!G22)</f>
        <v/>
      </c>
      <c r="G58" s="140" t="str">
        <f>IF(変換入力画面!H22="","",変換入力画面!H22)</f>
        <v/>
      </c>
      <c r="H58" s="139" t="str">
        <f>IF(変換入力画面!D22="","",ROUNDDOWN($J$26*D58+$J$28*E58+$J$30,3))</f>
        <v/>
      </c>
      <c r="I58" s="140" t="str">
        <f>IF(変換入力画面!D22="","",ROUNDDOWN(-$J$28*D58+$J$26*E58+$J$32,3))</f>
        <v/>
      </c>
      <c r="J58" s="136" t="str">
        <f t="shared" ref="J58:J66" si="13">IF(F58="","",F58-H58)</f>
        <v/>
      </c>
      <c r="K58" s="137" t="str">
        <f t="shared" ref="K58:K66" si="14">IF(G58="","",G58-I58)</f>
        <v/>
      </c>
      <c r="L58" s="141" t="str">
        <f t="shared" ref="L58:L66" si="15">IF(F58="","",ROUND((J58^2+K58^2),6))</f>
        <v/>
      </c>
      <c r="M58" s="20"/>
      <c r="O58" s="21"/>
      <c r="P58" s="15"/>
      <c r="Q58" s="15"/>
      <c r="S58" s="22"/>
      <c r="T58" s="22"/>
    </row>
    <row r="59" spans="1:20" ht="22.15" customHeight="1">
      <c r="B59" s="165">
        <v>8</v>
      </c>
      <c r="C59" s="230" t="str">
        <f>IF(変換入力画面!D23="","",変換入力画面!D23)</f>
        <v/>
      </c>
      <c r="D59" s="162" t="str">
        <f>IF(変換入力画面!E23="","",変換入力画面!E23)</f>
        <v/>
      </c>
      <c r="E59" s="163" t="str">
        <f>IF(変換入力画面!F23="","",変換入力画面!F23)</f>
        <v/>
      </c>
      <c r="F59" s="139" t="str">
        <f>IF(変換入力画面!G23="","",変換入力画面!G23)</f>
        <v/>
      </c>
      <c r="G59" s="140" t="str">
        <f>IF(変換入力画面!H23="","",変換入力画面!H23)</f>
        <v/>
      </c>
      <c r="H59" s="139" t="str">
        <f>IF(変換入力画面!D23="","",ROUNDDOWN($J$26*D59+$J$28*E59+$J$30,3))</f>
        <v/>
      </c>
      <c r="I59" s="140" t="str">
        <f>IF(変換入力画面!D23="","",ROUNDDOWN(-$J$28*D59+$J$26*E59+$J$32,3))</f>
        <v/>
      </c>
      <c r="J59" s="136" t="str">
        <f t="shared" si="13"/>
        <v/>
      </c>
      <c r="K59" s="137" t="str">
        <f t="shared" si="14"/>
        <v/>
      </c>
      <c r="L59" s="141" t="str">
        <f t="shared" si="15"/>
        <v/>
      </c>
      <c r="M59" s="166"/>
      <c r="O59" s="21"/>
      <c r="P59" s="15"/>
      <c r="Q59" s="15"/>
      <c r="S59" s="22"/>
      <c r="T59" s="22"/>
    </row>
    <row r="60" spans="1:20" ht="22.15" customHeight="1">
      <c r="B60" s="165">
        <v>9</v>
      </c>
      <c r="C60" s="230" t="str">
        <f>IF(変換入力画面!D24="","",変換入力画面!D24)</f>
        <v/>
      </c>
      <c r="D60" s="162" t="str">
        <f>IF(変換入力画面!E24="","",変換入力画面!E24)</f>
        <v/>
      </c>
      <c r="E60" s="163" t="str">
        <f>IF(変換入力画面!F24="","",変換入力画面!F24)</f>
        <v/>
      </c>
      <c r="F60" s="139" t="str">
        <f>IF(変換入力画面!G24="","",変換入力画面!G24)</f>
        <v/>
      </c>
      <c r="G60" s="140" t="str">
        <f>IF(変換入力画面!H24="","",変換入力画面!H24)</f>
        <v/>
      </c>
      <c r="H60" s="139" t="str">
        <f>IF(変換入力画面!D24="","",ROUNDDOWN($J$26*D60+$J$28*E60+$J$30,3))</f>
        <v/>
      </c>
      <c r="I60" s="140" t="str">
        <f>IF(変換入力画面!D24="","",ROUNDDOWN(-$J$28*D60+$J$26*E60+$J$32,3))</f>
        <v/>
      </c>
      <c r="J60" s="136" t="str">
        <f t="shared" si="13"/>
        <v/>
      </c>
      <c r="K60" s="137" t="str">
        <f t="shared" si="14"/>
        <v/>
      </c>
      <c r="L60" s="141" t="str">
        <f t="shared" si="15"/>
        <v/>
      </c>
      <c r="M60" s="166"/>
      <c r="O60" s="21"/>
      <c r="P60" s="15"/>
      <c r="Q60" s="15"/>
      <c r="S60" s="22"/>
      <c r="T60" s="22"/>
    </row>
    <row r="61" spans="1:20" ht="22.15" customHeight="1">
      <c r="B61" s="165">
        <v>10</v>
      </c>
      <c r="C61" s="230" t="str">
        <f>IF(変換入力画面!D25="","",変換入力画面!D25)</f>
        <v/>
      </c>
      <c r="D61" s="162" t="str">
        <f>IF(変換入力画面!E25="","",変換入力画面!E25)</f>
        <v/>
      </c>
      <c r="E61" s="163" t="str">
        <f>IF(変換入力画面!F25="","",変換入力画面!F25)</f>
        <v/>
      </c>
      <c r="F61" s="139" t="str">
        <f>IF(変換入力画面!G25="","",変換入力画面!G25)</f>
        <v/>
      </c>
      <c r="G61" s="140" t="str">
        <f>IF(変換入力画面!H25="","",変換入力画面!H25)</f>
        <v/>
      </c>
      <c r="H61" s="139" t="str">
        <f>IF(変換入力画面!D25="","",ROUNDDOWN($J$26*D61+$J$28*E61+$J$30,3))</f>
        <v/>
      </c>
      <c r="I61" s="140" t="str">
        <f>IF(変換入力画面!D25="","",ROUNDDOWN(-$J$28*D61+$J$26*E61+$J$32,3))</f>
        <v/>
      </c>
      <c r="J61" s="136" t="str">
        <f t="shared" si="13"/>
        <v/>
      </c>
      <c r="K61" s="137" t="str">
        <f t="shared" si="14"/>
        <v/>
      </c>
      <c r="L61" s="141" t="str">
        <f t="shared" si="15"/>
        <v/>
      </c>
      <c r="M61" s="166"/>
      <c r="O61" s="21"/>
      <c r="P61" s="15"/>
      <c r="Q61" s="15"/>
      <c r="S61" s="22"/>
      <c r="T61" s="22"/>
    </row>
    <row r="62" spans="1:20" ht="22.15" customHeight="1">
      <c r="B62" s="165">
        <v>11</v>
      </c>
      <c r="C62" s="230" t="str">
        <f>IF(変換入力画面!D26="","",変換入力画面!D26)</f>
        <v/>
      </c>
      <c r="D62" s="162" t="str">
        <f>IF(変換入力画面!E26="","",変換入力画面!E26)</f>
        <v/>
      </c>
      <c r="E62" s="163" t="str">
        <f>IF(変換入力画面!F26="","",変換入力画面!F26)</f>
        <v/>
      </c>
      <c r="F62" s="139" t="str">
        <f>IF(変換入力画面!G26="","",変換入力画面!G26)</f>
        <v/>
      </c>
      <c r="G62" s="140" t="str">
        <f>IF(変換入力画面!H26="","",変換入力画面!H26)</f>
        <v/>
      </c>
      <c r="H62" s="139" t="str">
        <f>IF(変換入力画面!D26="","",ROUNDDOWN($J$26*D62+$J$28*E62+$J$30,3))</f>
        <v/>
      </c>
      <c r="I62" s="140" t="str">
        <f>IF(変換入力画面!D26="","",ROUNDDOWN(-$J$28*D62+$J$26*E62+$J$32,3))</f>
        <v/>
      </c>
      <c r="J62" s="136" t="str">
        <f t="shared" si="13"/>
        <v/>
      </c>
      <c r="K62" s="137" t="str">
        <f t="shared" si="14"/>
        <v/>
      </c>
      <c r="L62" s="141" t="str">
        <f t="shared" si="15"/>
        <v/>
      </c>
      <c r="M62" s="166"/>
      <c r="O62" s="21"/>
      <c r="P62" s="15"/>
      <c r="Q62" s="15"/>
      <c r="S62" s="22"/>
      <c r="T62" s="22"/>
    </row>
    <row r="63" spans="1:20" ht="22.15" customHeight="1">
      <c r="B63" s="167">
        <v>12</v>
      </c>
      <c r="C63" s="230" t="str">
        <f>IF(変換入力画面!D27="","",変換入力画面!D27)</f>
        <v/>
      </c>
      <c r="D63" s="162" t="str">
        <f>IF(変換入力画面!E27="","",変換入力画面!E27)</f>
        <v/>
      </c>
      <c r="E63" s="163" t="str">
        <f>IF(変換入力画面!F27="","",変換入力画面!F27)</f>
        <v/>
      </c>
      <c r="F63" s="139" t="str">
        <f>IF(変換入力画面!G27="","",変換入力画面!G27)</f>
        <v/>
      </c>
      <c r="G63" s="140" t="str">
        <f>IF(変換入力画面!H27="","",変換入力画面!H27)</f>
        <v/>
      </c>
      <c r="H63" s="139" t="str">
        <f>IF(変換入力画面!D27="","",ROUNDDOWN($J$26*D63+$J$28*E63+$J$30,3))</f>
        <v/>
      </c>
      <c r="I63" s="140" t="str">
        <f>IF(変換入力画面!D27="","",ROUNDDOWN(-$J$28*D63+$J$26*E63+$J$32,3))</f>
        <v/>
      </c>
      <c r="J63" s="136" t="str">
        <f t="shared" si="13"/>
        <v/>
      </c>
      <c r="K63" s="137" t="str">
        <f t="shared" si="14"/>
        <v/>
      </c>
      <c r="L63" s="141" t="str">
        <f t="shared" si="15"/>
        <v/>
      </c>
      <c r="M63" s="166"/>
      <c r="O63" s="21"/>
      <c r="P63" s="15"/>
      <c r="Q63" s="15"/>
      <c r="S63" s="22"/>
      <c r="T63" s="22"/>
    </row>
    <row r="64" spans="1:20" ht="21.6" customHeight="1">
      <c r="B64" s="168">
        <v>13</v>
      </c>
      <c r="C64" s="230" t="str">
        <f>IF(変換入力画面!D28="","",変換入力画面!D28)</f>
        <v/>
      </c>
      <c r="D64" s="162" t="str">
        <f>IF(変換入力画面!E28="","",変換入力画面!E28)</f>
        <v/>
      </c>
      <c r="E64" s="163" t="str">
        <f>IF(変換入力画面!F28="","",変換入力画面!F28)</f>
        <v/>
      </c>
      <c r="F64" s="139" t="str">
        <f>IF(変換入力画面!G28="","",変換入力画面!G28)</f>
        <v/>
      </c>
      <c r="G64" s="140" t="str">
        <f>IF(変換入力画面!H28="","",変換入力画面!H28)</f>
        <v/>
      </c>
      <c r="H64" s="139" t="str">
        <f>IF(変換入力画面!D28="","",ROUNDDOWN($J$26*D64+$J$28*E64+$J$30,3))</f>
        <v/>
      </c>
      <c r="I64" s="140" t="str">
        <f>IF(変換入力画面!D28="","",ROUNDDOWN(-$J$28*D64+$J$26*E64+$J$32,3))</f>
        <v/>
      </c>
      <c r="J64" s="136" t="str">
        <f t="shared" si="13"/>
        <v/>
      </c>
      <c r="K64" s="137" t="str">
        <f t="shared" si="14"/>
        <v/>
      </c>
      <c r="L64" s="141" t="str">
        <f t="shared" si="15"/>
        <v/>
      </c>
    </row>
    <row r="65" spans="2:12" ht="21.6" customHeight="1">
      <c r="B65" s="168">
        <v>14</v>
      </c>
      <c r="C65" s="230" t="str">
        <f>IF(変換入力画面!D29="","",変換入力画面!D29)</f>
        <v/>
      </c>
      <c r="D65" s="162" t="str">
        <f>IF(変換入力画面!E29="","",変換入力画面!E29)</f>
        <v/>
      </c>
      <c r="E65" s="163" t="str">
        <f>IF(変換入力画面!F29="","",変換入力画面!F29)</f>
        <v/>
      </c>
      <c r="F65" s="139" t="str">
        <f>IF(変換入力画面!G29="","",変換入力画面!G29)</f>
        <v/>
      </c>
      <c r="G65" s="140" t="str">
        <f>IF(変換入力画面!H29="","",変換入力画面!H29)</f>
        <v/>
      </c>
      <c r="H65" s="139" t="str">
        <f>IF(変換入力画面!D29="","",ROUNDDOWN($J$26*D65+$J$28*E65+$J$30,3))</f>
        <v/>
      </c>
      <c r="I65" s="140" t="str">
        <f>IF(変換入力画面!D29="","",ROUNDDOWN(-$J$28*D65+$J$26*E65+$J$32,3))</f>
        <v/>
      </c>
      <c r="J65" s="136" t="str">
        <f t="shared" si="13"/>
        <v/>
      </c>
      <c r="K65" s="137" t="str">
        <f t="shared" si="14"/>
        <v/>
      </c>
      <c r="L65" s="141" t="str">
        <f t="shared" si="15"/>
        <v/>
      </c>
    </row>
    <row r="66" spans="2:12" ht="21.6" customHeight="1">
      <c r="B66" s="168">
        <v>15</v>
      </c>
      <c r="C66" s="230" t="str">
        <f>IF(変換入力画面!D30="","",変換入力画面!D30)</f>
        <v/>
      </c>
      <c r="D66" s="162" t="str">
        <f>IF(変換入力画面!E30="","",変換入力画面!E30)</f>
        <v/>
      </c>
      <c r="E66" s="163" t="str">
        <f>IF(変換入力画面!F30="","",変換入力画面!F30)</f>
        <v/>
      </c>
      <c r="F66" s="139" t="str">
        <f>IF(変換入力画面!G30="","",変換入力画面!G30)</f>
        <v/>
      </c>
      <c r="G66" s="140" t="str">
        <f>IF(変換入力画面!H30="","",変換入力画面!H30)</f>
        <v/>
      </c>
      <c r="H66" s="139" t="str">
        <f>IF(変換入力画面!D30="","",ROUNDDOWN($J$26*D66+$J$28*E66+$J$30,3))</f>
        <v/>
      </c>
      <c r="I66" s="140" t="str">
        <f>IF(変換入力画面!D30="","",ROUNDDOWN(-$J$28*D66+$J$26*E66+$J$32,3))</f>
        <v/>
      </c>
      <c r="J66" s="136" t="str">
        <f t="shared" si="13"/>
        <v/>
      </c>
      <c r="K66" s="137" t="str">
        <f t="shared" si="14"/>
        <v/>
      </c>
      <c r="L66" s="141" t="str">
        <f t="shared" si="15"/>
        <v/>
      </c>
    </row>
    <row r="67" spans="2:12" ht="21.6" customHeight="1">
      <c r="B67" s="168">
        <v>16</v>
      </c>
      <c r="C67" s="230" t="str">
        <f>IF(変換入力画面!D31="","",変換入力画面!D31)</f>
        <v/>
      </c>
      <c r="D67" s="162" t="str">
        <f>IF(変換入力画面!E31="","",変換入力画面!E31)</f>
        <v/>
      </c>
      <c r="E67" s="163" t="str">
        <f>IF(変換入力画面!F31="","",変換入力画面!F31)</f>
        <v/>
      </c>
      <c r="F67" s="139" t="str">
        <f>IF(変換入力画面!G31="","",変換入力画面!G31)</f>
        <v/>
      </c>
      <c r="G67" s="140" t="str">
        <f>IF(変換入力画面!H31="","",変換入力画面!H31)</f>
        <v/>
      </c>
      <c r="H67" s="139" t="str">
        <f>IF(変換入力画面!D31="","",ROUNDDOWN($J$26*D67+$J$28*E67+$J$30,3))</f>
        <v/>
      </c>
      <c r="I67" s="140" t="str">
        <f>IF(変換入力画面!D31="","",ROUNDDOWN(-$J$28*D67+$J$26*E67+$J$32,3))</f>
        <v/>
      </c>
      <c r="J67" s="136" t="str">
        <f t="shared" ref="J67:J68" si="16">IF(F67="","",F67-H67)</f>
        <v/>
      </c>
      <c r="K67" s="137" t="str">
        <f t="shared" ref="K67:K68" si="17">IF(G67="","",G67-I67)</f>
        <v/>
      </c>
      <c r="L67" s="141" t="str">
        <f t="shared" ref="L67:L68" si="18">IF(F67="","",ROUND((J67^2+K67^2),6))</f>
        <v/>
      </c>
    </row>
    <row r="68" spans="2:12" ht="21.6" customHeight="1">
      <c r="B68" s="168">
        <v>17</v>
      </c>
      <c r="C68" s="230" t="str">
        <f>IF(変換入力画面!D32="","",変換入力画面!D32)</f>
        <v/>
      </c>
      <c r="D68" s="162" t="str">
        <f>IF(変換入力画面!E32="","",変換入力画面!E32)</f>
        <v/>
      </c>
      <c r="E68" s="163" t="str">
        <f>IF(変換入力画面!F32="","",変換入力画面!F32)</f>
        <v/>
      </c>
      <c r="F68" s="139" t="str">
        <f>IF(変換入力画面!G32="","",変換入力画面!G32)</f>
        <v/>
      </c>
      <c r="G68" s="140" t="str">
        <f>IF(変換入力画面!H32="","",変換入力画面!H32)</f>
        <v/>
      </c>
      <c r="H68" s="139" t="str">
        <f>IF(変換入力画面!D32="","",ROUNDDOWN($J$26*D68+$J$28*E68+$J$30,3))</f>
        <v/>
      </c>
      <c r="I68" s="140" t="str">
        <f>IF(変換入力画面!D32="","",ROUNDDOWN(-$J$28*D68+$J$26*E68+$J$32,3))</f>
        <v/>
      </c>
      <c r="J68" s="136" t="str">
        <f t="shared" si="16"/>
        <v/>
      </c>
      <c r="K68" s="137" t="str">
        <f t="shared" si="17"/>
        <v/>
      </c>
      <c r="L68" s="141" t="str">
        <f t="shared" si="18"/>
        <v/>
      </c>
    </row>
    <row r="69" spans="2:12" ht="21.6" customHeight="1">
      <c r="B69" s="168">
        <v>18</v>
      </c>
      <c r="C69" s="230" t="str">
        <f>IF(変換入力画面!D33="","",変換入力画面!D33)</f>
        <v/>
      </c>
      <c r="D69" s="162" t="str">
        <f>IF(変換入力画面!E33="","",変換入力画面!E33)</f>
        <v/>
      </c>
      <c r="E69" s="163" t="str">
        <f>IF(変換入力画面!F33="","",変換入力画面!F33)</f>
        <v/>
      </c>
      <c r="F69" s="139" t="str">
        <f>IF(変換入力画面!G33="","",変換入力画面!G33)</f>
        <v/>
      </c>
      <c r="G69" s="140" t="str">
        <f>IF(変換入力画面!H33="","",変換入力画面!H33)</f>
        <v/>
      </c>
      <c r="H69" s="139" t="str">
        <f>IF(変換入力画面!D33="","",ROUNDDOWN($J$26*D69+$J$28*E69+$J$30,3))</f>
        <v/>
      </c>
      <c r="I69" s="140" t="str">
        <f>IF(変換入力画面!D33="","",ROUNDDOWN(-$J$28*D69+$J$26*E69+$J$32,3))</f>
        <v/>
      </c>
      <c r="J69" s="136" t="str">
        <f t="shared" ref="J69:J75" si="19">IF(F69="","",F69-H69)</f>
        <v/>
      </c>
      <c r="K69" s="137" t="str">
        <f t="shared" ref="K69:K75" si="20">IF(G69="","",G69-I69)</f>
        <v/>
      </c>
      <c r="L69" s="141" t="str">
        <f t="shared" ref="L69:L75" si="21">IF(F69="","",ROUND((J69^2+K69^2),6))</f>
        <v/>
      </c>
    </row>
    <row r="70" spans="2:12" ht="21.6" customHeight="1">
      <c r="B70" s="168">
        <v>19</v>
      </c>
      <c r="C70" s="230" t="str">
        <f>IF(変換入力画面!D34="","",変換入力画面!D34)</f>
        <v/>
      </c>
      <c r="D70" s="162" t="str">
        <f>IF(変換入力画面!E34="","",変換入力画面!E34)</f>
        <v/>
      </c>
      <c r="E70" s="163" t="str">
        <f>IF(変換入力画面!F34="","",変換入力画面!F34)</f>
        <v/>
      </c>
      <c r="F70" s="139" t="str">
        <f>IF(変換入力画面!G34="","",変換入力画面!G34)</f>
        <v/>
      </c>
      <c r="G70" s="140" t="str">
        <f>IF(変換入力画面!H34="","",変換入力画面!H34)</f>
        <v/>
      </c>
      <c r="H70" s="139" t="str">
        <f>IF(変換入力画面!D34="","",ROUNDDOWN($J$26*D70+$J$28*E70+$J$30,3))</f>
        <v/>
      </c>
      <c r="I70" s="140" t="str">
        <f>IF(変換入力画面!D34="","",ROUNDDOWN(-$J$28*D70+$J$26*E70+$J$32,3))</f>
        <v/>
      </c>
      <c r="J70" s="136" t="str">
        <f t="shared" si="19"/>
        <v/>
      </c>
      <c r="K70" s="137" t="str">
        <f t="shared" si="20"/>
        <v/>
      </c>
      <c r="L70" s="141" t="str">
        <f t="shared" si="21"/>
        <v/>
      </c>
    </row>
    <row r="71" spans="2:12" ht="21.6" customHeight="1">
      <c r="B71" s="168">
        <v>20</v>
      </c>
      <c r="C71" s="230" t="str">
        <f>IF(変換入力画面!D35="","",変換入力画面!D35)</f>
        <v/>
      </c>
      <c r="D71" s="162" t="str">
        <f>IF(変換入力画面!E35="","",変換入力画面!E35)</f>
        <v/>
      </c>
      <c r="E71" s="163" t="str">
        <f>IF(変換入力画面!F35="","",変換入力画面!F35)</f>
        <v/>
      </c>
      <c r="F71" s="139" t="str">
        <f>IF(変換入力画面!G35="","",変換入力画面!G35)</f>
        <v/>
      </c>
      <c r="G71" s="140" t="str">
        <f>IF(変換入力画面!H35="","",変換入力画面!H35)</f>
        <v/>
      </c>
      <c r="H71" s="139" t="str">
        <f>IF(変換入力画面!D35="","",ROUNDDOWN($J$26*D71+$J$28*E71+$J$30,3))</f>
        <v/>
      </c>
      <c r="I71" s="140" t="str">
        <f>IF(変換入力画面!D35="","",ROUNDDOWN(-$J$28*D71+$J$26*E71+$J$32,3))</f>
        <v/>
      </c>
      <c r="J71" s="136" t="str">
        <f t="shared" si="19"/>
        <v/>
      </c>
      <c r="K71" s="137" t="str">
        <f t="shared" si="20"/>
        <v/>
      </c>
      <c r="L71" s="141" t="str">
        <f t="shared" si="21"/>
        <v/>
      </c>
    </row>
    <row r="72" spans="2:12" ht="21.6" customHeight="1">
      <c r="B72" s="168">
        <v>21</v>
      </c>
      <c r="C72" s="230" t="str">
        <f>IF(変換入力画面!D36="","",変換入力画面!D36)</f>
        <v/>
      </c>
      <c r="D72" s="162" t="str">
        <f>IF(変換入力画面!E36="","",変換入力画面!E36)</f>
        <v/>
      </c>
      <c r="E72" s="163" t="str">
        <f>IF(変換入力画面!F36="","",変換入力画面!F36)</f>
        <v/>
      </c>
      <c r="F72" s="139" t="str">
        <f>IF(変換入力画面!G36="","",変換入力画面!G36)</f>
        <v/>
      </c>
      <c r="G72" s="140" t="str">
        <f>IF(変換入力画面!H36="","",変換入力画面!H36)</f>
        <v/>
      </c>
      <c r="H72" s="139" t="str">
        <f>IF(変換入力画面!D36="","",ROUNDDOWN($J$26*D72+$J$28*E72+$J$30,3))</f>
        <v/>
      </c>
      <c r="I72" s="140" t="str">
        <f>IF(変換入力画面!D36="","",ROUNDDOWN(-$J$28*D72+$J$26*E72+$J$32,3))</f>
        <v/>
      </c>
      <c r="J72" s="136" t="str">
        <f t="shared" si="19"/>
        <v/>
      </c>
      <c r="K72" s="137" t="str">
        <f t="shared" si="20"/>
        <v/>
      </c>
      <c r="L72" s="141" t="str">
        <f t="shared" si="21"/>
        <v/>
      </c>
    </row>
    <row r="73" spans="2:12" ht="21.6" customHeight="1">
      <c r="B73" s="168">
        <v>22</v>
      </c>
      <c r="C73" s="230" t="str">
        <f>IF(変換入力画面!D37="","",変換入力画面!D37)</f>
        <v/>
      </c>
      <c r="D73" s="162" t="str">
        <f>IF(変換入力画面!E37="","",変換入力画面!E37)</f>
        <v/>
      </c>
      <c r="E73" s="163" t="str">
        <f>IF(変換入力画面!F37="","",変換入力画面!F37)</f>
        <v/>
      </c>
      <c r="F73" s="139" t="str">
        <f>IF(変換入力画面!G37="","",変換入力画面!G37)</f>
        <v/>
      </c>
      <c r="G73" s="140" t="str">
        <f>IF(変換入力画面!H37="","",変換入力画面!H37)</f>
        <v/>
      </c>
      <c r="H73" s="139" t="str">
        <f>IF(変換入力画面!D37="","",ROUNDDOWN($J$26*D73+$J$28*E73+$J$30,3))</f>
        <v/>
      </c>
      <c r="I73" s="140" t="str">
        <f>IF(変換入力画面!D37="","",ROUNDDOWN(-$J$28*D73+$J$26*E73+$J$32,3))</f>
        <v/>
      </c>
      <c r="J73" s="136" t="str">
        <f t="shared" si="19"/>
        <v/>
      </c>
      <c r="K73" s="137" t="str">
        <f t="shared" si="20"/>
        <v/>
      </c>
      <c r="L73" s="141" t="str">
        <f t="shared" si="21"/>
        <v/>
      </c>
    </row>
    <row r="74" spans="2:12" ht="21.6" customHeight="1">
      <c r="B74" s="168">
        <v>23</v>
      </c>
      <c r="C74" s="230" t="str">
        <f>IF(変換入力画面!D38="","",変換入力画面!D38)</f>
        <v/>
      </c>
      <c r="D74" s="162" t="str">
        <f>IF(変換入力画面!E38="","",変換入力画面!E38)</f>
        <v/>
      </c>
      <c r="E74" s="163" t="str">
        <f>IF(変換入力画面!F38="","",変換入力画面!F38)</f>
        <v/>
      </c>
      <c r="F74" s="139" t="str">
        <f>IF(変換入力画面!G38="","",変換入力画面!G38)</f>
        <v/>
      </c>
      <c r="G74" s="140" t="str">
        <f>IF(変換入力画面!H38="","",変換入力画面!H38)</f>
        <v/>
      </c>
      <c r="H74" s="139" t="str">
        <f>IF(変換入力画面!D38="","",ROUNDDOWN($J$26*D74+$J$28*E74+$J$30,3))</f>
        <v/>
      </c>
      <c r="I74" s="140" t="str">
        <f>IF(変換入力画面!D38="","",ROUNDDOWN(-$J$28*D74+$J$26*E74+$J$32,3))</f>
        <v/>
      </c>
      <c r="J74" s="136" t="str">
        <f t="shared" si="19"/>
        <v/>
      </c>
      <c r="K74" s="137" t="str">
        <f t="shared" si="20"/>
        <v/>
      </c>
      <c r="L74" s="141" t="str">
        <f t="shared" si="21"/>
        <v/>
      </c>
    </row>
    <row r="75" spans="2:12" ht="23.45" customHeight="1" thickBot="1">
      <c r="B75" s="169">
        <v>24</v>
      </c>
      <c r="C75" s="231" t="str">
        <f>IF(変換入力画面!D39="","",変換入力画面!D39)</f>
        <v/>
      </c>
      <c r="D75" s="329" t="str">
        <f>IF(変換入力画面!E39="","",変換入力画面!E39)</f>
        <v/>
      </c>
      <c r="E75" s="330" t="str">
        <f>IF(変換入力画面!F39="","",変換入力画面!F39)</f>
        <v/>
      </c>
      <c r="F75" s="170" t="str">
        <f>IF(変換入力画面!G39="","",変換入力画面!G39)</f>
        <v/>
      </c>
      <c r="G75" s="171" t="str">
        <f>IF(変換入力画面!H39="","",変換入力画面!H39)</f>
        <v/>
      </c>
      <c r="H75" s="170" t="str">
        <f>IF(変換入力画面!D39="","",ROUNDDOWN($J$26*D75+$J$28*E75+$J$30,3))</f>
        <v/>
      </c>
      <c r="I75" s="171" t="str">
        <f>IF(変換入力画面!D39="","",ROUNDDOWN(-$J$28*D75+$J$26*E75+$J$32,3))</f>
        <v/>
      </c>
      <c r="J75" s="172" t="str">
        <f t="shared" si="19"/>
        <v/>
      </c>
      <c r="K75" s="173" t="str">
        <f t="shared" si="20"/>
        <v/>
      </c>
      <c r="L75" s="174" t="str">
        <f t="shared" si="21"/>
        <v/>
      </c>
    </row>
    <row r="76" spans="2:12" ht="24.6" customHeight="1"/>
    <row r="77" spans="2:12" ht="24.6" customHeight="1">
      <c r="C77" s="223" t="s">
        <v>51</v>
      </c>
      <c r="D77" s="224">
        <f>J26</f>
        <v>1.0034130000000001</v>
      </c>
      <c r="E77" s="223" t="s">
        <v>54</v>
      </c>
      <c r="F77" s="224">
        <f>J28</f>
        <v>-2.349E-3</v>
      </c>
      <c r="G77" s="223" t="s">
        <v>57</v>
      </c>
      <c r="H77" s="225">
        <f>J30</f>
        <v>-354.68599999999998</v>
      </c>
      <c r="I77" s="223" t="s">
        <v>60</v>
      </c>
      <c r="J77" s="225">
        <f>J32</f>
        <v>217.846</v>
      </c>
      <c r="K77" s="223" t="s">
        <v>113</v>
      </c>
      <c r="L77" s="224">
        <f>E34</f>
        <v>1.0034149999999999</v>
      </c>
    </row>
    <row r="78" spans="2:12" ht="24.6" customHeight="1"/>
    <row r="79" spans="2:12" ht="24.6" customHeight="1"/>
    <row r="80" spans="2:12" ht="24.6" customHeight="1"/>
    <row r="81" ht="24.6" customHeight="1"/>
    <row r="82" ht="24.6" customHeight="1"/>
    <row r="83" ht="24.6" customHeight="1"/>
    <row r="84" ht="24.6" customHeight="1"/>
  </sheetData>
  <mergeCells count="16">
    <mergeCell ref="I2:J2"/>
    <mergeCell ref="O2:T2"/>
    <mergeCell ref="D2:H2"/>
    <mergeCell ref="H43:I43"/>
    <mergeCell ref="J43:K43"/>
    <mergeCell ref="L43:L44"/>
    <mergeCell ref="B3:L3"/>
    <mergeCell ref="B5:B8"/>
    <mergeCell ref="B9:B21"/>
    <mergeCell ref="B24:B35"/>
    <mergeCell ref="B36:B39"/>
    <mergeCell ref="C36:D36"/>
    <mergeCell ref="C38:D38"/>
    <mergeCell ref="D42:J42"/>
    <mergeCell ref="D43:E43"/>
    <mergeCell ref="F43:G43"/>
  </mergeCells>
  <phoneticPr fontId="2"/>
  <pageMargins left="0.23622047244094491" right="0.23622047244094491" top="0.74803149606299213" bottom="0.74803149606299213" header="0.31496062992125984" footer="0.31496062992125984"/>
  <pageSetup paperSize="8"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06670-2D26-4241-833B-540171F85159}">
  <sheetPr>
    <tabColor theme="9" tint="0.79998168889431442"/>
  </sheetPr>
  <dimension ref="A1:V84"/>
  <sheetViews>
    <sheetView zoomScale="72" zoomScaleNormal="72" workbookViewId="0">
      <selection activeCell="E87" sqref="E87"/>
    </sheetView>
  </sheetViews>
  <sheetFormatPr defaultColWidth="8.75" defaultRowHeight="14.25"/>
  <cols>
    <col min="1" max="1" width="2.25" style="2" customWidth="1"/>
    <col min="2" max="2" width="5.75" style="2" customWidth="1"/>
    <col min="3" max="3" width="10.625" style="2" customWidth="1"/>
    <col min="4" max="12" width="25.125" style="2" customWidth="1"/>
    <col min="13" max="13" width="21.875" style="2" customWidth="1"/>
    <col min="14" max="14" width="9.875" style="2" customWidth="1"/>
    <col min="15" max="15" width="3.75" style="2" customWidth="1"/>
    <col min="16" max="16" width="4.75" style="2" customWidth="1"/>
    <col min="17" max="17" width="7.25" style="2" customWidth="1"/>
    <col min="18" max="18" width="4.75" style="2" customWidth="1"/>
    <col min="19" max="19" width="4.25" style="2" customWidth="1"/>
    <col min="20" max="20" width="8" style="2" customWidth="1"/>
    <col min="21" max="21" width="19.75" style="2" customWidth="1"/>
    <col min="22" max="22" width="18.75" style="2" customWidth="1"/>
    <col min="23" max="16384" width="8.75" style="2"/>
  </cols>
  <sheetData>
    <row r="1" spans="1:22" ht="24.6" customHeight="1">
      <c r="A1" s="1"/>
      <c r="B1" s="1"/>
      <c r="C1" s="1"/>
      <c r="D1" s="1"/>
      <c r="E1" s="1"/>
      <c r="F1" s="1"/>
      <c r="G1" s="1"/>
      <c r="H1" s="1"/>
      <c r="I1" s="1"/>
      <c r="J1" s="1"/>
      <c r="K1" s="1"/>
      <c r="L1" s="1"/>
      <c r="M1" s="1"/>
      <c r="N1" s="1"/>
      <c r="O1" s="1"/>
    </row>
    <row r="2" spans="1:22" ht="37.15" customHeight="1" thickBot="1">
      <c r="A2" s="1"/>
      <c r="B2" s="1"/>
      <c r="C2" s="1"/>
      <c r="D2" s="339" t="s">
        <v>89</v>
      </c>
      <c r="E2" s="339"/>
      <c r="F2" s="339"/>
      <c r="G2" s="339"/>
      <c r="H2" s="339"/>
      <c r="I2" s="339"/>
      <c r="J2" s="339"/>
      <c r="K2" s="356" t="s">
        <v>1</v>
      </c>
      <c r="L2" s="356"/>
      <c r="M2" s="4"/>
      <c r="N2" s="4"/>
      <c r="O2" s="5"/>
      <c r="P2" s="6"/>
      <c r="Q2" s="357"/>
      <c r="R2" s="357"/>
      <c r="S2" s="357"/>
      <c r="T2" s="357"/>
      <c r="U2" s="357"/>
      <c r="V2" s="357"/>
    </row>
    <row r="3" spans="1:22" ht="34.15" customHeight="1" thickBot="1">
      <c r="A3" s="1"/>
      <c r="B3" s="398" t="s">
        <v>14</v>
      </c>
      <c r="C3" s="399"/>
      <c r="D3" s="399"/>
      <c r="E3" s="399"/>
      <c r="F3" s="399"/>
      <c r="G3" s="399"/>
      <c r="H3" s="399"/>
      <c r="I3" s="399"/>
      <c r="J3" s="399"/>
      <c r="K3" s="399"/>
      <c r="L3" s="399"/>
      <c r="M3" s="399"/>
      <c r="N3" s="400"/>
      <c r="O3" s="20"/>
      <c r="Q3" s="21"/>
      <c r="R3" s="15"/>
      <c r="S3" s="15"/>
      <c r="T3" s="16"/>
      <c r="U3" s="22"/>
      <c r="V3" s="22"/>
    </row>
    <row r="4" spans="1:22" ht="17.45" customHeight="1">
      <c r="A4" s="1"/>
      <c r="B4" s="31"/>
      <c r="C4" s="32"/>
      <c r="D4" s="33">
        <v>1</v>
      </c>
      <c r="E4" s="33">
        <v>2</v>
      </c>
      <c r="F4" s="33">
        <v>3</v>
      </c>
      <c r="G4" s="33">
        <v>4</v>
      </c>
      <c r="H4" s="33">
        <v>5</v>
      </c>
      <c r="I4" s="33">
        <v>6</v>
      </c>
      <c r="J4" s="33" t="s">
        <v>15</v>
      </c>
      <c r="K4" s="33"/>
      <c r="L4" s="175"/>
      <c r="M4" s="175"/>
      <c r="N4" s="34"/>
      <c r="O4" s="20"/>
      <c r="Q4" s="21"/>
      <c r="R4" s="15"/>
      <c r="S4" s="15"/>
      <c r="U4" s="22"/>
      <c r="V4" s="22"/>
    </row>
    <row r="5" spans="1:22" ht="17.45" customHeight="1">
      <c r="A5" s="1"/>
      <c r="B5" s="401" t="s">
        <v>16</v>
      </c>
      <c r="C5" s="35" t="s">
        <v>90</v>
      </c>
      <c r="D5" s="36">
        <f>IF(変換入力画面!G7="","",変換入力画面!G7)</f>
        <v>40751.440999999999</v>
      </c>
      <c r="E5" s="36">
        <f>IF(変換入力画面!G8="","",変換入力画面!G8)</f>
        <v>40763.387000000002</v>
      </c>
      <c r="F5" s="36">
        <f>IF(変換入力画面!G9="","",変換入力画面!G9)</f>
        <v>40746.894</v>
      </c>
      <c r="G5" s="36">
        <f>IF(変換入力画面!G10="","",変換入力画面!G10)</f>
        <v>40743.688000000002</v>
      </c>
      <c r="H5" s="36">
        <f>IF(変換入力画面!G11="","",変換入力画面!G11)</f>
        <v>40734.506000000001</v>
      </c>
      <c r="I5" s="36">
        <f>IF(変換入力画面!G12="","",変換入力画面!G12)</f>
        <v>40741.995000000003</v>
      </c>
      <c r="J5" s="36">
        <f>SUM(D5:I5)</f>
        <v>244481.91099999999</v>
      </c>
      <c r="K5" s="37" t="s">
        <v>18</v>
      </c>
      <c r="L5" s="64"/>
      <c r="M5" s="64"/>
      <c r="N5" s="38"/>
      <c r="O5" s="20"/>
      <c r="Q5" s="21"/>
      <c r="R5" s="15"/>
      <c r="S5" s="15"/>
      <c r="U5" s="22"/>
      <c r="V5" s="22"/>
    </row>
    <row r="6" spans="1:22" ht="17.45" customHeight="1">
      <c r="A6" s="1"/>
      <c r="B6" s="402"/>
      <c r="C6" s="35" t="s">
        <v>23</v>
      </c>
      <c r="D6" s="36">
        <f>IF(変換入力画面!H7="","",変換入力画面!H7)</f>
        <v>-91907.573000000004</v>
      </c>
      <c r="E6" s="36">
        <f>IF(変換入力画面!H8="","",変換入力画面!H8)</f>
        <v>-91896.063999999998</v>
      </c>
      <c r="F6" s="36">
        <f>IF(変換入力画面!H9="","",変換入力画面!H9)</f>
        <v>-91883.892000000007</v>
      </c>
      <c r="G6" s="36">
        <f>IF(変換入力画面!H10="","",変換入力画面!H10)</f>
        <v>-91881.32</v>
      </c>
      <c r="H6" s="36">
        <f>IF(変換入力画面!H11="","",変換入力画面!H11)</f>
        <v>-91890.554000000004</v>
      </c>
      <c r="I6" s="36">
        <f>IF(変換入力画面!H12="","",変換入力画面!H12)</f>
        <v>-91897.479000000007</v>
      </c>
      <c r="J6" s="36">
        <f t="shared" ref="J6:J8" si="0">SUM(D6:I6)</f>
        <v>-551356.88199999998</v>
      </c>
      <c r="K6" s="37" t="s">
        <v>20</v>
      </c>
      <c r="L6" s="64"/>
      <c r="M6" s="64"/>
      <c r="N6" s="38"/>
      <c r="O6" s="20"/>
      <c r="Q6" s="21"/>
      <c r="R6" s="15"/>
      <c r="S6" s="15"/>
      <c r="U6" s="22"/>
      <c r="V6" s="22"/>
    </row>
    <row r="7" spans="1:22" ht="17.45" customHeight="1">
      <c r="A7" s="1"/>
      <c r="B7" s="402"/>
      <c r="C7" s="35" t="s">
        <v>21</v>
      </c>
      <c r="D7" s="36">
        <f>IF(変換入力画面!E7="","",変換入力画面!E7)</f>
        <v>40751.207999999999</v>
      </c>
      <c r="E7" s="36">
        <f>IF(変換入力画面!E8="","",変換入力画面!E8)</f>
        <v>40763.1</v>
      </c>
      <c r="F7" s="36">
        <f>IF(変換入力画面!E9="","",変換入力画面!E9)</f>
        <v>40746.485999999997</v>
      </c>
      <c r="G7" s="36">
        <f>IF(変換入力画面!E10="","",変換入力画面!E10)</f>
        <v>40743.476999999999</v>
      </c>
      <c r="H7" s="36">
        <f>IF(変換入力画面!E11="","",変換入力画面!E11)</f>
        <v>40734.370999999999</v>
      </c>
      <c r="I7" s="36">
        <f>IF(変換入力画面!E12="","",変換入力画面!E12)</f>
        <v>40741.838000000003</v>
      </c>
      <c r="J7" s="36">
        <f t="shared" si="0"/>
        <v>244480.47999999998</v>
      </c>
      <c r="K7" s="39" t="s">
        <v>22</v>
      </c>
      <c r="L7" s="65"/>
      <c r="M7" s="65"/>
      <c r="N7" s="40"/>
      <c r="O7" s="20"/>
      <c r="Q7" s="21"/>
      <c r="R7" s="15"/>
      <c r="S7" s="15"/>
      <c r="U7" s="22"/>
      <c r="V7" s="22"/>
    </row>
    <row r="8" spans="1:22" ht="17.45" customHeight="1">
      <c r="A8" s="1"/>
      <c r="B8" s="411"/>
      <c r="C8" s="35" t="s">
        <v>23</v>
      </c>
      <c r="D8" s="52">
        <f>IF(変換入力画面!F7="","",変換入力画面!F7)</f>
        <v>-91907.42</v>
      </c>
      <c r="E8" s="52">
        <f>IF(変換入力画面!F8="","",変換入力画面!F8)</f>
        <v>-91896.176999999996</v>
      </c>
      <c r="F8" s="52">
        <f>IF(変換入力画面!F9="","",変換入力画面!F9)</f>
        <v>-91883.832999999999</v>
      </c>
      <c r="G8" s="52">
        <f>IF(変換入力画面!F10="","",変換入力画面!F10)</f>
        <v>-91881.240999999995</v>
      </c>
      <c r="H8" s="52">
        <f>IF(変換入力画面!F11="","",変換入力画面!F11)</f>
        <v>-91890.438999999998</v>
      </c>
      <c r="I8" s="52">
        <f>IF(変換入力画面!F12="","",変換入力画面!F12)</f>
        <v>-91897.357999999993</v>
      </c>
      <c r="J8" s="36">
        <f t="shared" si="0"/>
        <v>-551356.46799999999</v>
      </c>
      <c r="K8" s="39" t="s">
        <v>24</v>
      </c>
      <c r="L8" s="65"/>
      <c r="M8" s="65"/>
      <c r="N8" s="40"/>
      <c r="O8" s="20"/>
      <c r="Q8" s="21"/>
      <c r="R8" s="15"/>
      <c r="S8" s="15"/>
      <c r="U8" s="22"/>
      <c r="V8" s="22"/>
    </row>
    <row r="9" spans="1:22" ht="17.45" customHeight="1">
      <c r="A9" s="1"/>
      <c r="B9" s="401" t="s">
        <v>25</v>
      </c>
      <c r="C9" s="37" t="s">
        <v>46</v>
      </c>
      <c r="D9" s="37">
        <f>入力画面1!B35</f>
        <v>6</v>
      </c>
      <c r="E9" s="177"/>
      <c r="F9" s="177"/>
      <c r="G9" s="177"/>
      <c r="H9" s="177"/>
      <c r="I9" s="177"/>
      <c r="J9" s="39"/>
      <c r="K9" s="178" t="s">
        <v>91</v>
      </c>
      <c r="L9" s="64"/>
      <c r="M9" s="178" t="s">
        <v>92</v>
      </c>
      <c r="N9" s="38"/>
      <c r="O9" s="20"/>
      <c r="Q9" s="21"/>
      <c r="R9" s="15"/>
      <c r="S9" s="15"/>
      <c r="U9" s="22"/>
      <c r="V9" s="22"/>
    </row>
    <row r="10" spans="1:22" ht="17.45" customHeight="1">
      <c r="A10" s="1"/>
      <c r="B10" s="402"/>
      <c r="C10" s="37" t="s">
        <v>93</v>
      </c>
      <c r="D10" s="36">
        <f t="shared" ref="D10:I10" si="1">IF(D5="","",D5*D7)</f>
        <v>1660670448.4907279</v>
      </c>
      <c r="E10" s="36">
        <f t="shared" si="1"/>
        <v>1661642020.6197</v>
      </c>
      <c r="F10" s="36">
        <f t="shared" si="1"/>
        <v>1660292745.9144838</v>
      </c>
      <c r="G10" s="36">
        <f t="shared" si="1"/>
        <v>1660039514.9231761</v>
      </c>
      <c r="H10" s="36">
        <f t="shared" si="1"/>
        <v>1659294479.905726</v>
      </c>
      <c r="I10" s="36">
        <f t="shared" si="1"/>
        <v>1659903760.0868104</v>
      </c>
      <c r="J10" s="36">
        <f t="shared" ref="J10:J16" si="2">SUM(D10:I10)</f>
        <v>9961842969.9406242</v>
      </c>
      <c r="K10" s="64">
        <f>J10*D9</f>
        <v>59771057819.643745</v>
      </c>
      <c r="L10" s="64">
        <f>J5*J7</f>
        <v>59771054952.597275</v>
      </c>
      <c r="M10" s="64">
        <f t="shared" ref="M10:M16" si="3">K10-L10</f>
        <v>2867.0464706420898</v>
      </c>
      <c r="N10" s="51" t="s">
        <v>93</v>
      </c>
      <c r="O10" s="20"/>
      <c r="Q10" s="21"/>
      <c r="R10" s="15"/>
      <c r="S10" s="15"/>
      <c r="U10" s="22"/>
      <c r="V10" s="22"/>
    </row>
    <row r="11" spans="1:22" ht="17.45" customHeight="1">
      <c r="A11" s="1"/>
      <c r="B11" s="402"/>
      <c r="C11" s="37" t="s">
        <v>94</v>
      </c>
      <c r="D11" s="36">
        <f t="shared" ref="D11:I11" si="4">IF(D5="","",D5*D8)</f>
        <v>-3745359803.5922198</v>
      </c>
      <c r="E11" s="36">
        <f t="shared" si="4"/>
        <v>-3745999426.8714991</v>
      </c>
      <c r="F11" s="36">
        <f t="shared" si="4"/>
        <v>-3743980803.564702</v>
      </c>
      <c r="G11" s="36">
        <f t="shared" si="4"/>
        <v>-3743580616.3568082</v>
      </c>
      <c r="H11" s="36">
        <f t="shared" si="4"/>
        <v>-3743111638.7881341</v>
      </c>
      <c r="I11" s="52">
        <f t="shared" si="4"/>
        <v>-3744081700.14921</v>
      </c>
      <c r="J11" s="36">
        <f t="shared" si="2"/>
        <v>-22466113989.322571</v>
      </c>
      <c r="K11" s="64">
        <f>J11*D9</f>
        <v>-134796683935.93542</v>
      </c>
      <c r="L11" s="64">
        <f>J5*J8</f>
        <v>-134796682938.85034</v>
      </c>
      <c r="M11" s="64">
        <f t="shared" si="3"/>
        <v>-997.0850830078125</v>
      </c>
      <c r="N11" s="51" t="s">
        <v>94</v>
      </c>
      <c r="O11" s="20"/>
      <c r="Q11" s="21"/>
      <c r="R11" s="15"/>
      <c r="S11" s="15"/>
      <c r="U11" s="22"/>
      <c r="V11" s="22"/>
    </row>
    <row r="12" spans="1:22" ht="17.45" customHeight="1">
      <c r="A12" s="1"/>
      <c r="B12" s="402"/>
      <c r="C12" s="37" t="s">
        <v>95</v>
      </c>
      <c r="D12" s="52">
        <f t="shared" ref="D12:I12" si="5">IF(D6="","",D6*D7)</f>
        <v>-3745344624.0981841</v>
      </c>
      <c r="E12" s="52">
        <f t="shared" si="5"/>
        <v>-3745968446.4383998</v>
      </c>
      <c r="F12" s="52">
        <f t="shared" si="5"/>
        <v>-3743945719.0035119</v>
      </c>
      <c r="G12" s="36">
        <f t="shared" si="5"/>
        <v>-3743564448.1496401</v>
      </c>
      <c r="H12" s="36">
        <f t="shared" si="5"/>
        <v>-3743103918.0315342</v>
      </c>
      <c r="I12" s="36">
        <f t="shared" si="5"/>
        <v>-3744072202.0264025</v>
      </c>
      <c r="J12" s="36">
        <f t="shared" si="2"/>
        <v>-22465999357.747669</v>
      </c>
      <c r="K12" s="64">
        <f>J12*D9</f>
        <v>-134795996146.48602</v>
      </c>
      <c r="L12" s="64">
        <f>J6*J7</f>
        <v>-134795995162.66335</v>
      </c>
      <c r="M12" s="64">
        <f t="shared" si="3"/>
        <v>-983.82267761230469</v>
      </c>
      <c r="N12" s="51" t="s">
        <v>95</v>
      </c>
      <c r="O12" s="20"/>
      <c r="Q12" s="21"/>
      <c r="R12" s="15"/>
      <c r="S12" s="15"/>
      <c r="U12" s="22"/>
      <c r="V12" s="22"/>
    </row>
    <row r="13" spans="1:22" ht="17.45" customHeight="1">
      <c r="A13" s="1"/>
      <c r="B13" s="402"/>
      <c r="C13" s="37" t="s">
        <v>96</v>
      </c>
      <c r="D13" s="36">
        <f>IF(D6="","",D6*D8)</f>
        <v>8446987912.8916597</v>
      </c>
      <c r="E13" s="36">
        <f t="shared" ref="E13:I13" si="6">IF(E6="","",E6*E8)</f>
        <v>8444896962.9473276</v>
      </c>
      <c r="F13" s="36">
        <f t="shared" si="6"/>
        <v>8442644187.9180365</v>
      </c>
      <c r="G13" s="36">
        <f t="shared" si="6"/>
        <v>8442169706.31812</v>
      </c>
      <c r="H13" s="36">
        <f t="shared" si="6"/>
        <v>8443863347.0132065</v>
      </c>
      <c r="I13" s="36">
        <f t="shared" si="6"/>
        <v>8445135526.9604816</v>
      </c>
      <c r="J13" s="36">
        <f t="shared" si="2"/>
        <v>50665697644.048828</v>
      </c>
      <c r="K13" s="64">
        <f>J13*D9</f>
        <v>303994185864.29297</v>
      </c>
      <c r="L13" s="64">
        <f>J6*J8</f>
        <v>303994183067.01276</v>
      </c>
      <c r="M13" s="64">
        <f t="shared" si="3"/>
        <v>2797.2802124023438</v>
      </c>
      <c r="N13" s="51" t="s">
        <v>96</v>
      </c>
      <c r="O13" s="20"/>
      <c r="Q13" s="21"/>
      <c r="R13" s="15"/>
      <c r="S13" s="15"/>
      <c r="U13" s="22"/>
      <c r="V13" s="22"/>
    </row>
    <row r="14" spans="1:22" ht="17.45" customHeight="1">
      <c r="A14" s="1"/>
      <c r="B14" s="402"/>
      <c r="C14" s="37" t="s">
        <v>97</v>
      </c>
      <c r="D14" s="36">
        <f t="shared" ref="D14:I15" si="7">IF(D7="","",D7^2)</f>
        <v>1660660953.4592638</v>
      </c>
      <c r="E14" s="36">
        <f t="shared" si="7"/>
        <v>1661630321.6099999</v>
      </c>
      <c r="F14" s="36">
        <f t="shared" si="7"/>
        <v>1660276121.3481958</v>
      </c>
      <c r="G14" s="36">
        <f t="shared" si="7"/>
        <v>1660030918.0495288</v>
      </c>
      <c r="H14" s="36">
        <f t="shared" si="7"/>
        <v>1659288980.765641</v>
      </c>
      <c r="I14" s="36">
        <f t="shared" si="7"/>
        <v>1659897363.6182442</v>
      </c>
      <c r="J14" s="36">
        <f t="shared" si="2"/>
        <v>9961784658.8508739</v>
      </c>
      <c r="K14" s="64">
        <f>J14*D9</f>
        <v>59770707953.10524</v>
      </c>
      <c r="L14" s="64">
        <f>(SUM(D7:I7))^2</f>
        <v>59770705101.030388</v>
      </c>
      <c r="M14" s="64">
        <f t="shared" si="3"/>
        <v>2852.0748519897461</v>
      </c>
      <c r="N14" s="51" t="s">
        <v>97</v>
      </c>
      <c r="O14" s="20"/>
      <c r="Q14" s="21"/>
      <c r="R14" s="15"/>
      <c r="S14" s="15"/>
      <c r="U14" s="22"/>
      <c r="V14" s="22"/>
    </row>
    <row r="15" spans="1:22" ht="17.45" customHeight="1">
      <c r="A15" s="1"/>
      <c r="B15" s="402"/>
      <c r="C15" s="37" t="s">
        <v>98</v>
      </c>
      <c r="D15" s="36">
        <f t="shared" si="7"/>
        <v>8446973851.0563993</v>
      </c>
      <c r="E15" s="36">
        <f t="shared" si="7"/>
        <v>8444907347.2153282</v>
      </c>
      <c r="F15" s="36">
        <f t="shared" si="7"/>
        <v>8442638766.7718887</v>
      </c>
      <c r="G15" s="36">
        <f t="shared" si="7"/>
        <v>8442162447.7000799</v>
      </c>
      <c r="H15" s="36">
        <f t="shared" si="7"/>
        <v>8443852779.6127205</v>
      </c>
      <c r="I15" s="36">
        <f t="shared" si="7"/>
        <v>8445124407.3801622</v>
      </c>
      <c r="J15" s="52">
        <f t="shared" si="2"/>
        <v>50665659599.73658</v>
      </c>
      <c r="K15" s="65">
        <f>J15*D9</f>
        <v>303993957598.41949</v>
      </c>
      <c r="L15" s="64">
        <f>(SUM(D8:I8))^2</f>
        <v>303993954805.435</v>
      </c>
      <c r="M15" s="65">
        <f t="shared" si="3"/>
        <v>2792.9844970703125</v>
      </c>
      <c r="N15" s="51" t="s">
        <v>98</v>
      </c>
      <c r="O15" s="20"/>
      <c r="Q15" s="21"/>
      <c r="R15" s="15"/>
      <c r="S15" s="15"/>
      <c r="U15" s="22"/>
      <c r="V15" s="22"/>
    </row>
    <row r="16" spans="1:22" ht="17.45" customHeight="1">
      <c r="A16" s="1"/>
      <c r="B16" s="402"/>
      <c r="C16" s="37" t="s">
        <v>99</v>
      </c>
      <c r="D16" s="52">
        <f>IF(D8="","",D8*D7)</f>
        <v>-3745338389.1633596</v>
      </c>
      <c r="E16" s="52">
        <f>IF(E8="","",E8*E7)</f>
        <v>-3745973052.6686997</v>
      </c>
      <c r="F16" s="52">
        <f t="shared" ref="F16:I16" si="8">IF(F8="","",F8*F7)</f>
        <v>-3743943314.9608378</v>
      </c>
      <c r="G16" s="52">
        <f t="shared" si="8"/>
        <v>-3743561229.4149566</v>
      </c>
      <c r="H16" s="52">
        <f t="shared" si="8"/>
        <v>-3743099233.5788689</v>
      </c>
      <c r="I16" s="52">
        <f t="shared" si="8"/>
        <v>-3744067272.2640042</v>
      </c>
      <c r="J16" s="52">
        <f t="shared" si="2"/>
        <v>-22465982492.050728</v>
      </c>
      <c r="K16" s="65">
        <f>D9*J16</f>
        <v>-134795894952.30437</v>
      </c>
      <c r="L16" s="65">
        <f>J7*J8</f>
        <v>-134795893947.74463</v>
      </c>
      <c r="M16" s="65">
        <f t="shared" si="3"/>
        <v>-1004.5597381591797</v>
      </c>
      <c r="N16" s="51" t="s">
        <v>99</v>
      </c>
      <c r="O16" s="20"/>
      <c r="Q16" s="21"/>
      <c r="R16" s="15"/>
      <c r="S16" s="15"/>
      <c r="U16" s="22"/>
      <c r="V16" s="22"/>
    </row>
    <row r="17" spans="1:22" ht="17.45" customHeight="1">
      <c r="A17" s="1"/>
      <c r="B17" s="411"/>
      <c r="C17" s="176"/>
      <c r="D17" s="36"/>
      <c r="E17" s="36"/>
      <c r="F17" s="36"/>
      <c r="G17" s="36"/>
      <c r="H17" s="36"/>
      <c r="I17" s="36"/>
      <c r="J17" s="36"/>
      <c r="K17" s="64"/>
      <c r="L17" s="64"/>
      <c r="M17" s="64"/>
      <c r="N17" s="38"/>
      <c r="O17" s="20"/>
      <c r="Q17" s="21"/>
      <c r="R17" s="15"/>
      <c r="S17" s="15"/>
      <c r="U17" s="22"/>
      <c r="V17" s="22"/>
    </row>
    <row r="18" spans="1:22" ht="17.45" customHeight="1">
      <c r="A18" s="1"/>
      <c r="B18" s="412" t="s">
        <v>47</v>
      </c>
      <c r="C18" s="39" t="s">
        <v>48</v>
      </c>
      <c r="D18" s="36">
        <f>M14*M15-M16^2</f>
        <v>6956660.5785610275</v>
      </c>
      <c r="E18" s="36"/>
      <c r="F18" s="36"/>
      <c r="G18" s="36"/>
      <c r="H18" s="36"/>
      <c r="I18" s="36"/>
      <c r="J18" s="36"/>
      <c r="K18" s="64"/>
      <c r="L18" s="64"/>
      <c r="M18" s="64"/>
      <c r="N18" s="38"/>
      <c r="O18" s="20"/>
      <c r="Q18" s="21"/>
      <c r="R18" s="15"/>
      <c r="S18" s="15"/>
      <c r="U18" s="22"/>
      <c r="V18" s="22"/>
    </row>
    <row r="19" spans="1:22" ht="17.45" customHeight="1">
      <c r="A19" s="1"/>
      <c r="B19" s="413"/>
      <c r="C19" s="37"/>
      <c r="D19" s="37" t="s">
        <v>93</v>
      </c>
      <c r="E19" s="37" t="s">
        <v>98</v>
      </c>
      <c r="F19" s="37" t="s">
        <v>94</v>
      </c>
      <c r="G19" s="37" t="s">
        <v>99</v>
      </c>
      <c r="H19" s="39" t="s">
        <v>48</v>
      </c>
      <c r="I19" s="52"/>
      <c r="J19" s="52"/>
      <c r="K19" s="65"/>
      <c r="L19" s="65"/>
      <c r="M19" s="65"/>
      <c r="N19" s="40"/>
      <c r="O19" s="20"/>
      <c r="Q19" s="21"/>
      <c r="R19" s="15"/>
      <c r="S19" s="15"/>
      <c r="U19" s="22"/>
      <c r="V19" s="22"/>
    </row>
    <row r="20" spans="1:22" ht="17.45" customHeight="1">
      <c r="A20" s="1"/>
      <c r="B20" s="413"/>
      <c r="C20" s="37" t="s">
        <v>51</v>
      </c>
      <c r="D20" s="52">
        <f>M10</f>
        <v>2867.0464706420898</v>
      </c>
      <c r="E20" s="52">
        <f>M15</f>
        <v>2792.9844970703125</v>
      </c>
      <c r="F20" s="52">
        <f>M11</f>
        <v>-997.0850830078125</v>
      </c>
      <c r="G20" s="36">
        <f>M16</f>
        <v>-1004.5597381591797</v>
      </c>
      <c r="H20" s="36">
        <f>D18</f>
        <v>6956660.5785610275</v>
      </c>
      <c r="I20" s="52"/>
      <c r="J20" s="66">
        <f>ROUND((((D20*E20)-(F20*G20))/H20),6)</f>
        <v>1.00709</v>
      </c>
      <c r="K20" s="67" t="s">
        <v>51</v>
      </c>
      <c r="L20" s="65"/>
      <c r="M20" s="65"/>
      <c r="N20" s="40"/>
      <c r="O20" s="20"/>
      <c r="Q20" s="21"/>
      <c r="R20" s="15"/>
      <c r="S20" s="15"/>
      <c r="U20" s="22"/>
      <c r="V20" s="22"/>
    </row>
    <row r="21" spans="1:22" ht="17.45" customHeight="1">
      <c r="A21" s="1"/>
      <c r="B21" s="413"/>
      <c r="C21" s="37"/>
      <c r="D21" s="37" t="s">
        <v>94</v>
      </c>
      <c r="E21" s="37" t="s">
        <v>97</v>
      </c>
      <c r="F21" s="37" t="s">
        <v>93</v>
      </c>
      <c r="G21" s="37" t="s">
        <v>99</v>
      </c>
      <c r="H21" s="36"/>
      <c r="I21" s="52"/>
      <c r="J21" s="66"/>
      <c r="K21" s="67"/>
      <c r="L21" s="65"/>
      <c r="M21" s="65"/>
      <c r="N21" s="40"/>
      <c r="O21" s="20"/>
      <c r="Q21" s="21"/>
      <c r="R21" s="15"/>
      <c r="S21" s="15"/>
      <c r="U21" s="22"/>
      <c r="V21" s="22"/>
    </row>
    <row r="22" spans="1:22" ht="17.45" customHeight="1">
      <c r="A22" s="1"/>
      <c r="B22" s="413"/>
      <c r="C22" s="37" t="s">
        <v>54</v>
      </c>
      <c r="D22" s="36">
        <f>M11</f>
        <v>-997.0850830078125</v>
      </c>
      <c r="E22" s="36">
        <f>M14</f>
        <v>2852.0748519897461</v>
      </c>
      <c r="F22" s="36">
        <f>M10</f>
        <v>2867.0464706420898</v>
      </c>
      <c r="G22" s="36">
        <f>M16</f>
        <v>-1004.5597381591797</v>
      </c>
      <c r="H22" s="36">
        <f>D18</f>
        <v>6956660.5785610275</v>
      </c>
      <c r="I22" s="36"/>
      <c r="J22" s="68">
        <f>ROUND(((D22*E22)-(F22*G22))/H22,6)</f>
        <v>5.2259999999999997E-3</v>
      </c>
      <c r="K22" s="67" t="s">
        <v>54</v>
      </c>
      <c r="L22" s="64"/>
      <c r="M22" s="64"/>
      <c r="N22" s="38"/>
      <c r="O22" s="20"/>
      <c r="Q22" s="21"/>
      <c r="R22" s="15"/>
      <c r="S22" s="15"/>
      <c r="U22" s="22"/>
      <c r="V22" s="22"/>
    </row>
    <row r="23" spans="1:22" ht="17.45" customHeight="1">
      <c r="A23" s="1"/>
      <c r="B23" s="413"/>
      <c r="C23" s="37"/>
      <c r="D23" s="37" t="s">
        <v>96</v>
      </c>
      <c r="E23" s="37" t="s">
        <v>99</v>
      </c>
      <c r="F23" s="37" t="s">
        <v>95</v>
      </c>
      <c r="G23" s="37" t="s">
        <v>98</v>
      </c>
      <c r="H23" s="36"/>
      <c r="I23" s="36"/>
      <c r="J23" s="68"/>
      <c r="K23" s="67"/>
      <c r="L23" s="64"/>
      <c r="M23" s="64"/>
      <c r="N23" s="38"/>
      <c r="O23" s="20"/>
      <c r="Q23" s="21"/>
      <c r="R23" s="15"/>
      <c r="S23" s="15"/>
      <c r="U23" s="22"/>
      <c r="V23" s="22"/>
    </row>
    <row r="24" spans="1:22" ht="17.45" customHeight="1">
      <c r="A24" s="1"/>
      <c r="B24" s="413"/>
      <c r="C24" s="37" t="s">
        <v>56</v>
      </c>
      <c r="D24" s="36">
        <f>M13</f>
        <v>2797.2802124023438</v>
      </c>
      <c r="E24" s="36">
        <f>M16</f>
        <v>-1004.5597381591797</v>
      </c>
      <c r="F24" s="36">
        <f>M12</f>
        <v>-983.82267761230469</v>
      </c>
      <c r="G24" s="36">
        <f>M15</f>
        <v>2792.9844970703125</v>
      </c>
      <c r="H24" s="36">
        <f>D18</f>
        <v>6956660.5785610275</v>
      </c>
      <c r="I24" s="52"/>
      <c r="J24" s="66">
        <f>ROUND((((D24*E24)-(F24*G24))/H24),6)</f>
        <v>-8.9460000000000008E-3</v>
      </c>
      <c r="K24" s="67" t="s">
        <v>56</v>
      </c>
      <c r="L24" s="65"/>
      <c r="M24" s="65"/>
      <c r="N24" s="40"/>
      <c r="O24" s="20"/>
      <c r="Q24" s="21"/>
      <c r="R24" s="15"/>
      <c r="S24" s="15"/>
      <c r="U24" s="22"/>
      <c r="V24" s="22"/>
    </row>
    <row r="25" spans="1:22" ht="17.45" customHeight="1">
      <c r="A25" s="1"/>
      <c r="B25" s="413"/>
      <c r="C25" s="37"/>
      <c r="D25" s="37" t="s">
        <v>94</v>
      </c>
      <c r="E25" s="37" t="s">
        <v>97</v>
      </c>
      <c r="F25" s="37" t="s">
        <v>95</v>
      </c>
      <c r="G25" s="37" t="s">
        <v>99</v>
      </c>
      <c r="H25" s="36"/>
      <c r="I25" s="52"/>
      <c r="J25" s="66"/>
      <c r="K25" s="67"/>
      <c r="L25" s="65"/>
      <c r="M25" s="65"/>
      <c r="N25" s="40"/>
      <c r="O25" s="20"/>
      <c r="Q25" s="21"/>
      <c r="R25" s="15"/>
      <c r="S25" s="15"/>
      <c r="U25" s="22"/>
      <c r="V25" s="22"/>
    </row>
    <row r="26" spans="1:22" ht="17.45" customHeight="1">
      <c r="A26" s="1"/>
      <c r="B26" s="413"/>
      <c r="C26" s="37" t="s">
        <v>59</v>
      </c>
      <c r="D26" s="36">
        <f>M13</f>
        <v>2797.2802124023438</v>
      </c>
      <c r="E26" s="36">
        <f>M14</f>
        <v>2852.0748519897461</v>
      </c>
      <c r="F26" s="36">
        <f>M12</f>
        <v>-983.82267761230469</v>
      </c>
      <c r="G26" s="36">
        <f>M16</f>
        <v>-1004.5597381591797</v>
      </c>
      <c r="H26" s="36">
        <f>D18</f>
        <v>6956660.5785610275</v>
      </c>
      <c r="I26" s="52"/>
      <c r="J26" s="66">
        <f>ROUND((((D26*E26)-(F26*G26))/H26),6)</f>
        <v>1.004756</v>
      </c>
      <c r="K26" s="67" t="s">
        <v>59</v>
      </c>
      <c r="L26" s="65"/>
      <c r="M26" s="65"/>
      <c r="N26" s="40"/>
      <c r="O26" s="20"/>
      <c r="Q26" s="21"/>
      <c r="R26" s="15"/>
      <c r="S26" s="15"/>
      <c r="U26" s="22"/>
      <c r="V26" s="22"/>
    </row>
    <row r="27" spans="1:22" ht="17.45" customHeight="1">
      <c r="A27" s="1"/>
      <c r="B27" s="413"/>
      <c r="C27" s="37"/>
      <c r="D27" s="36"/>
      <c r="E27" s="36"/>
      <c r="F27" s="36"/>
      <c r="G27" s="36"/>
      <c r="H27" s="36"/>
      <c r="I27" s="52"/>
      <c r="J27" s="71"/>
      <c r="K27" s="65"/>
      <c r="L27" s="65"/>
      <c r="M27" s="65"/>
      <c r="N27" s="40"/>
      <c r="O27" s="20"/>
      <c r="Q27" s="21"/>
      <c r="R27" s="15"/>
      <c r="S27" s="15"/>
      <c r="U27" s="22"/>
      <c r="V27" s="22"/>
    </row>
    <row r="28" spans="1:22" ht="17.45" customHeight="1">
      <c r="A28" s="1"/>
      <c r="B28" s="413"/>
      <c r="C28" s="37"/>
      <c r="D28" s="37" t="s">
        <v>18</v>
      </c>
      <c r="E28" s="39" t="s">
        <v>22</v>
      </c>
      <c r="F28" s="39" t="s">
        <v>51</v>
      </c>
      <c r="G28" s="37" t="s">
        <v>54</v>
      </c>
      <c r="H28" s="39" t="s">
        <v>24</v>
      </c>
      <c r="I28" s="39" t="s">
        <v>46</v>
      </c>
      <c r="J28" s="71"/>
      <c r="K28" s="65"/>
      <c r="L28" s="65"/>
      <c r="M28" s="65"/>
      <c r="N28" s="40"/>
      <c r="O28" s="20"/>
      <c r="Q28" s="21"/>
      <c r="R28" s="15"/>
      <c r="S28" s="15"/>
      <c r="U28" s="22"/>
      <c r="V28" s="22"/>
    </row>
    <row r="29" spans="1:22" ht="17.45" customHeight="1">
      <c r="A29" s="1"/>
      <c r="B29" s="413"/>
      <c r="C29" s="37" t="s">
        <v>100</v>
      </c>
      <c r="D29" s="71">
        <f>J5</f>
        <v>244481.91099999999</v>
      </c>
      <c r="E29" s="66">
        <f>J7</f>
        <v>244480.47999999998</v>
      </c>
      <c r="F29" s="66">
        <f>J20</f>
        <v>1.00709</v>
      </c>
      <c r="G29" s="68">
        <f>J22</f>
        <v>5.2259999999999997E-3</v>
      </c>
      <c r="H29" s="68">
        <f>J8</f>
        <v>-551356.46799999999</v>
      </c>
      <c r="I29" s="37">
        <f>D9</f>
        <v>6</v>
      </c>
      <c r="J29" s="52">
        <f>ROUNDDOWN((D29-F29*E29-G29*H29)/D9,3)</f>
        <v>191.57499999999999</v>
      </c>
      <c r="K29" s="67" t="s">
        <v>120</v>
      </c>
      <c r="L29" s="65"/>
      <c r="M29" s="65"/>
      <c r="N29" s="40"/>
      <c r="O29" s="20"/>
      <c r="Q29" s="21"/>
      <c r="R29" s="15"/>
      <c r="S29" s="15"/>
      <c r="U29" s="22"/>
      <c r="V29" s="22"/>
    </row>
    <row r="30" spans="1:22" ht="17.45" customHeight="1">
      <c r="A30" s="1"/>
      <c r="B30" s="413"/>
      <c r="C30" s="37"/>
      <c r="D30" s="37" t="s">
        <v>20</v>
      </c>
      <c r="E30" s="39" t="s">
        <v>22</v>
      </c>
      <c r="F30" s="37" t="s">
        <v>56</v>
      </c>
      <c r="G30" s="37" t="s">
        <v>59</v>
      </c>
      <c r="H30" s="39" t="s">
        <v>24</v>
      </c>
      <c r="I30" s="39" t="s">
        <v>46</v>
      </c>
      <c r="J30" s="52"/>
      <c r="K30" s="67"/>
      <c r="L30" s="65"/>
      <c r="M30" s="65"/>
      <c r="N30" s="40"/>
      <c r="O30" s="20"/>
      <c r="Q30" s="21"/>
      <c r="R30" s="15"/>
      <c r="S30" s="15"/>
      <c r="U30" s="22"/>
      <c r="V30" s="22"/>
    </row>
    <row r="31" spans="1:22" ht="17.45" customHeight="1">
      <c r="A31" s="1"/>
      <c r="B31" s="413"/>
      <c r="C31" s="37" t="s">
        <v>101</v>
      </c>
      <c r="D31" s="179">
        <f>J6</f>
        <v>-551356.88199999998</v>
      </c>
      <c r="E31" s="68">
        <f>J7</f>
        <v>244480.47999999998</v>
      </c>
      <c r="F31" s="68">
        <f>J24</f>
        <v>-8.9460000000000008E-3</v>
      </c>
      <c r="G31" s="68">
        <f>J26</f>
        <v>1.004756</v>
      </c>
      <c r="H31" s="68">
        <f>J8</f>
        <v>-551356.46799999999</v>
      </c>
      <c r="I31" s="37">
        <f>D9</f>
        <v>6</v>
      </c>
      <c r="J31" s="36">
        <f>ROUNDDOWN((D31+F31*E31-G31*H31)/D9,3)</f>
        <v>72.451999999999998</v>
      </c>
      <c r="K31" s="176" t="s">
        <v>101</v>
      </c>
      <c r="L31" s="64"/>
      <c r="M31" s="64"/>
      <c r="N31" s="38"/>
      <c r="O31" s="20"/>
      <c r="Q31" s="21"/>
      <c r="R31" s="15"/>
      <c r="S31" s="15"/>
      <c r="U31" s="22"/>
      <c r="V31" s="22"/>
    </row>
    <row r="32" spans="1:22" ht="17.45" customHeight="1">
      <c r="A32" s="1"/>
      <c r="B32" s="413"/>
      <c r="C32" s="37"/>
      <c r="D32" s="179"/>
      <c r="E32" s="179"/>
      <c r="F32" s="179"/>
      <c r="G32" s="179"/>
      <c r="H32" s="179"/>
      <c r="I32" s="37"/>
      <c r="J32" s="179"/>
      <c r="K32" s="176"/>
      <c r="L32" s="64"/>
      <c r="M32" s="64"/>
      <c r="N32" s="38"/>
      <c r="O32" s="20"/>
      <c r="Q32" s="21"/>
      <c r="R32" s="15"/>
      <c r="S32" s="15"/>
      <c r="U32" s="22"/>
      <c r="V32" s="22"/>
    </row>
    <row r="33" spans="1:22" ht="17.45" customHeight="1">
      <c r="A33" s="1"/>
      <c r="B33" s="413"/>
      <c r="C33" s="415" t="s">
        <v>115</v>
      </c>
      <c r="D33" s="415"/>
      <c r="E33" s="39" t="s">
        <v>103</v>
      </c>
      <c r="F33" s="66">
        <f>ROUNDDOWN(SQRT(J20^2+J22^2),6)</f>
        <v>1.0071030000000001</v>
      </c>
      <c r="G33" s="52"/>
      <c r="H33" s="52"/>
      <c r="I33" s="52"/>
      <c r="J33" s="52"/>
      <c r="K33" s="65"/>
      <c r="L33" s="65"/>
      <c r="M33" s="65"/>
      <c r="N33" s="40"/>
      <c r="O33" s="20"/>
      <c r="Q33" s="21"/>
      <c r="R33" s="15"/>
      <c r="S33" s="15"/>
      <c r="U33" s="22"/>
      <c r="V33" s="22"/>
    </row>
    <row r="34" spans="1:22" ht="17.45" customHeight="1">
      <c r="A34" s="1"/>
      <c r="B34" s="413"/>
      <c r="C34" s="415" t="s">
        <v>104</v>
      </c>
      <c r="D34" s="415"/>
      <c r="E34" s="39" t="s">
        <v>105</v>
      </c>
      <c r="F34" s="66">
        <f>ROUNDDOWN(SQRT(J24^2+J26^2),6)</f>
        <v>1.0047950000000001</v>
      </c>
      <c r="G34" s="36"/>
      <c r="H34" s="36"/>
      <c r="I34" s="52"/>
      <c r="J34" s="52"/>
      <c r="K34" s="65"/>
      <c r="L34" s="65"/>
      <c r="M34" s="65"/>
      <c r="N34" s="40"/>
      <c r="O34" s="20"/>
      <c r="Q34" s="21"/>
      <c r="R34" s="15"/>
      <c r="S34" s="15"/>
      <c r="U34" s="22"/>
      <c r="V34" s="22"/>
    </row>
    <row r="35" spans="1:22" ht="17.45" customHeight="1">
      <c r="A35" s="1"/>
      <c r="B35" s="413"/>
      <c r="C35" s="180"/>
      <c r="D35" s="52"/>
      <c r="E35" s="52"/>
      <c r="F35" s="52"/>
      <c r="G35" s="36"/>
      <c r="H35" s="36"/>
      <c r="I35" s="52"/>
      <c r="J35" s="52"/>
      <c r="K35" s="65"/>
      <c r="L35" s="65"/>
      <c r="M35" s="65"/>
      <c r="N35" s="40"/>
      <c r="O35" s="20"/>
      <c r="Q35" s="21"/>
      <c r="R35" s="15"/>
      <c r="S35" s="15"/>
      <c r="U35" s="22"/>
      <c r="V35" s="22"/>
    </row>
    <row r="36" spans="1:22" ht="17.45" customHeight="1">
      <c r="A36" s="1"/>
      <c r="B36" s="413"/>
      <c r="C36" s="416" t="s">
        <v>106</v>
      </c>
      <c r="D36" s="416"/>
      <c r="E36" s="52">
        <f>ROUNDDOWN(J29,3)</f>
        <v>191.57499999999999</v>
      </c>
      <c r="F36" s="52"/>
      <c r="G36" s="36"/>
      <c r="H36" s="36"/>
      <c r="I36" s="52"/>
      <c r="J36" s="52"/>
      <c r="K36" s="65"/>
      <c r="L36" s="65"/>
      <c r="M36" s="65"/>
      <c r="N36" s="40"/>
      <c r="O36" s="20"/>
      <c r="Q36" s="21"/>
      <c r="R36" s="15"/>
      <c r="S36" s="15"/>
      <c r="U36" s="22"/>
      <c r="V36" s="22"/>
    </row>
    <row r="37" spans="1:22" ht="17.45" customHeight="1">
      <c r="A37" s="1"/>
      <c r="B37" s="413"/>
      <c r="C37" s="416" t="s">
        <v>107</v>
      </c>
      <c r="D37" s="416"/>
      <c r="E37" s="52">
        <f>ROUNDDOWN(J31,3)</f>
        <v>72.451999999999998</v>
      </c>
      <c r="F37" s="52"/>
      <c r="G37" s="36"/>
      <c r="H37" s="36"/>
      <c r="I37" s="52"/>
      <c r="J37" s="52"/>
      <c r="K37" s="65"/>
      <c r="L37" s="65"/>
      <c r="M37" s="65"/>
      <c r="N37" s="40"/>
      <c r="O37" s="20"/>
      <c r="Q37" s="21"/>
      <c r="R37" s="15"/>
      <c r="S37" s="15"/>
      <c r="U37" s="22"/>
      <c r="V37" s="22"/>
    </row>
    <row r="38" spans="1:22" ht="17.45" customHeight="1" thickBot="1">
      <c r="A38" s="1"/>
      <c r="B38" s="414"/>
      <c r="C38" s="181"/>
      <c r="D38" s="182"/>
      <c r="E38" s="183"/>
      <c r="F38" s="52"/>
      <c r="G38" s="36"/>
      <c r="H38" s="36"/>
      <c r="I38" s="52"/>
      <c r="J38" s="183"/>
      <c r="K38" s="184"/>
      <c r="L38" s="185"/>
      <c r="M38" s="185"/>
      <c r="N38" s="186"/>
      <c r="O38" s="20"/>
      <c r="Q38" s="21"/>
      <c r="R38" s="15"/>
      <c r="S38" s="15"/>
      <c r="U38" s="22"/>
      <c r="V38" s="22"/>
    </row>
    <row r="39" spans="1:22" ht="17.45" customHeight="1">
      <c r="A39" s="1"/>
      <c r="B39" s="419" t="s">
        <v>63</v>
      </c>
      <c r="C39" s="408" t="s">
        <v>64</v>
      </c>
      <c r="D39" s="408"/>
      <c r="E39" s="187">
        <f>ROUND(DEGREES(ATAN(J22/J20)),6)</f>
        <v>0.297317</v>
      </c>
      <c r="F39" s="76"/>
      <c r="G39" s="74" t="s">
        <v>66</v>
      </c>
      <c r="H39" s="75">
        <f>ROUND(COS(RADIANS(E39)),6)</f>
        <v>0.99998699999999996</v>
      </c>
      <c r="I39" s="76"/>
      <c r="J39" s="188" t="s">
        <v>67</v>
      </c>
      <c r="K39" s="189" t="s">
        <v>68</v>
      </c>
      <c r="L39" s="190" t="s">
        <v>69</v>
      </c>
      <c r="M39" s="191"/>
      <c r="N39" s="192"/>
      <c r="O39" s="20"/>
      <c r="Q39" s="21"/>
      <c r="U39" s="22"/>
      <c r="V39" s="22"/>
    </row>
    <row r="40" spans="1:22" ht="17.45" customHeight="1">
      <c r="A40" s="1"/>
      <c r="B40" s="420"/>
      <c r="C40" s="79"/>
      <c r="D40" s="80"/>
      <c r="E40" s="193"/>
      <c r="F40" s="194"/>
      <c r="G40" s="83" t="s">
        <v>70</v>
      </c>
      <c r="H40" s="84">
        <f>ROUND(SIN(RADIANS(E39)),6)</f>
        <v>5.189E-3</v>
      </c>
      <c r="I40" s="85" t="s">
        <v>71</v>
      </c>
      <c r="J40" s="86">
        <f>INT(ABS(E39*3600)/3600)</f>
        <v>0</v>
      </c>
      <c r="K40" s="86">
        <f>INT((INT(ABS(E39*3600)-J40*3600)/60))</f>
        <v>17</v>
      </c>
      <c r="L40" s="195">
        <f>(ABS(E39*3600)-J40*3600-K40*60)</f>
        <v>50.341200000000072</v>
      </c>
      <c r="M40" s="196"/>
      <c r="N40" s="197"/>
      <c r="O40" s="20"/>
      <c r="Q40" s="21"/>
      <c r="R40" s="15"/>
      <c r="S40" s="15"/>
      <c r="U40" s="22"/>
      <c r="V40" s="22"/>
    </row>
    <row r="41" spans="1:22" ht="17.45" customHeight="1">
      <c r="A41" s="1"/>
      <c r="B41" s="420"/>
      <c r="C41" s="409" t="s">
        <v>72</v>
      </c>
      <c r="D41" s="409"/>
      <c r="E41" s="92">
        <f>ROUND(DEGREES(ATAN(J24/J26)),6)</f>
        <v>-0.51012800000000003</v>
      </c>
      <c r="F41" s="194"/>
      <c r="G41" s="88" t="s">
        <v>74</v>
      </c>
      <c r="H41" s="84">
        <f>ROUND(COS(RADIANS(E41)),6)</f>
        <v>0.99995999999999996</v>
      </c>
      <c r="I41" s="198"/>
      <c r="J41" s="50" t="s">
        <v>67</v>
      </c>
      <c r="K41" s="199" t="s">
        <v>68</v>
      </c>
      <c r="L41" s="200" t="s">
        <v>69</v>
      </c>
      <c r="M41" s="196"/>
      <c r="N41" s="197"/>
      <c r="O41" s="20"/>
      <c r="Q41" s="21"/>
      <c r="U41" s="22"/>
      <c r="V41" s="22"/>
    </row>
    <row r="42" spans="1:22" ht="17.45" customHeight="1" thickBot="1">
      <c r="A42" s="1"/>
      <c r="B42" s="421"/>
      <c r="C42" s="91"/>
      <c r="D42" s="91"/>
      <c r="E42" s="91"/>
      <c r="F42" s="201"/>
      <c r="G42" s="202" t="s">
        <v>75</v>
      </c>
      <c r="H42" s="84">
        <f>ROUND(SIN(RADIANS(E41)),6)</f>
        <v>-8.9029999999999995E-3</v>
      </c>
      <c r="I42" s="203" t="s">
        <v>71</v>
      </c>
      <c r="J42" s="86">
        <f>INT(ABS(E41*3600)/3600)</f>
        <v>0</v>
      </c>
      <c r="K42" s="86">
        <f>INT((INT(ABS(E41*3600)-J42*3600)/60))</f>
        <v>30</v>
      </c>
      <c r="L42" s="204">
        <f>(ABS(E41*3600)-J42*3600-K42*60)</f>
        <v>36.460800000000063</v>
      </c>
      <c r="M42" s="196"/>
      <c r="N42" s="197"/>
      <c r="O42" s="20"/>
      <c r="Q42" s="21"/>
      <c r="R42" s="15"/>
      <c r="S42" s="15"/>
      <c r="U42" s="22"/>
      <c r="V42" s="22"/>
    </row>
    <row r="43" spans="1:22" ht="24" customHeight="1">
      <c r="A43" s="1"/>
      <c r="B43" s="99"/>
      <c r="C43" s="100"/>
      <c r="D43" s="101"/>
      <c r="E43" s="100"/>
      <c r="F43" s="102"/>
      <c r="G43" s="103"/>
      <c r="H43" s="104"/>
      <c r="I43" s="105"/>
      <c r="J43" s="106"/>
      <c r="K43" s="107"/>
      <c r="L43" s="108"/>
      <c r="M43" s="205"/>
      <c r="N43" s="205"/>
      <c r="O43" s="20"/>
      <c r="Q43" s="21"/>
      <c r="R43" s="15"/>
      <c r="S43" s="15"/>
      <c r="U43" s="22"/>
      <c r="V43" s="22"/>
    </row>
    <row r="44" spans="1:22" ht="34.9" customHeight="1">
      <c r="A44" s="1"/>
      <c r="B44" s="8"/>
      <c r="C44" s="1"/>
      <c r="D44" s="1"/>
      <c r="E44" s="1"/>
      <c r="F44" s="109"/>
      <c r="G44" s="110"/>
      <c r="H44" s="111"/>
      <c r="I44" s="112"/>
      <c r="J44" s="8"/>
      <c r="K44" s="8"/>
      <c r="L44" s="113"/>
      <c r="M44" s="20"/>
      <c r="N44" s="20"/>
      <c r="O44" s="20"/>
      <c r="Q44" s="21"/>
      <c r="R44" s="15"/>
      <c r="S44" s="15"/>
      <c r="U44" s="22"/>
      <c r="V44" s="22"/>
    </row>
    <row r="45" spans="1:22" ht="59.45" customHeight="1" thickBot="1">
      <c r="A45" s="1"/>
      <c r="B45" s="114"/>
      <c r="C45" s="115"/>
      <c r="D45" s="410" t="s">
        <v>108</v>
      </c>
      <c r="E45" s="410"/>
      <c r="F45" s="410"/>
      <c r="G45" s="410"/>
      <c r="H45" s="410"/>
      <c r="I45" s="410"/>
      <c r="J45" s="410"/>
      <c r="K45" s="116">
        <f ca="1">TODAY()</f>
        <v>45779</v>
      </c>
      <c r="L45" s="117"/>
      <c r="M45" s="20"/>
      <c r="N45" s="20"/>
      <c r="O45" s="20"/>
      <c r="Q45" s="21"/>
      <c r="R45" s="15"/>
      <c r="S45" s="15"/>
      <c r="U45" s="22"/>
      <c r="V45" s="22"/>
    </row>
    <row r="46" spans="1:22" ht="29.45" customHeight="1" thickBot="1">
      <c r="A46" s="1"/>
      <c r="B46" s="118"/>
      <c r="C46" s="119"/>
      <c r="D46" s="394" t="s">
        <v>77</v>
      </c>
      <c r="E46" s="395"/>
      <c r="F46" s="394" t="s">
        <v>78</v>
      </c>
      <c r="G46" s="395"/>
      <c r="H46" s="394" t="s">
        <v>109</v>
      </c>
      <c r="I46" s="395"/>
      <c r="J46" s="394" t="s">
        <v>80</v>
      </c>
      <c r="K46" s="395"/>
      <c r="L46" s="417" t="s">
        <v>81</v>
      </c>
      <c r="M46" s="206"/>
      <c r="N46" s="20"/>
      <c r="O46" s="20"/>
      <c r="Q46" s="21"/>
      <c r="R46" s="15"/>
      <c r="S46" s="15"/>
      <c r="U46" s="22"/>
      <c r="V46" s="22"/>
    </row>
    <row r="47" spans="1:22" ht="28.9" customHeight="1">
      <c r="A47" s="1"/>
      <c r="B47" s="120"/>
      <c r="C47" s="121" t="s">
        <v>82</v>
      </c>
      <c r="D47" s="122" t="s">
        <v>83</v>
      </c>
      <c r="E47" s="123" t="s">
        <v>84</v>
      </c>
      <c r="F47" s="124" t="s">
        <v>83</v>
      </c>
      <c r="G47" s="125" t="s">
        <v>84</v>
      </c>
      <c r="H47" s="122" t="s">
        <v>83</v>
      </c>
      <c r="I47" s="123" t="s">
        <v>84</v>
      </c>
      <c r="J47" s="126" t="s">
        <v>85</v>
      </c>
      <c r="K47" s="127" t="s">
        <v>86</v>
      </c>
      <c r="L47" s="418"/>
      <c r="M47" s="206"/>
      <c r="N47" s="20"/>
      <c r="O47" s="20"/>
      <c r="Q47" s="21"/>
      <c r="R47" s="15"/>
      <c r="S47" s="15"/>
      <c r="U47" s="22"/>
      <c r="V47" s="22"/>
    </row>
    <row r="48" spans="1:22" ht="21" customHeight="1">
      <c r="A48" s="1"/>
      <c r="B48" s="128">
        <v>1</v>
      </c>
      <c r="C48" s="230" t="str">
        <f>IF(変換入力画面!D7="","",変換入力画面!D7)</f>
        <v>K136</v>
      </c>
      <c r="D48" s="129">
        <f>IF(変換入力画面!E7="","",変換入力画面!E7)</f>
        <v>40751.207999999999</v>
      </c>
      <c r="E48" s="131">
        <f>IF(変換入力画面!F7="","",変換入力画面!F7)</f>
        <v>-91907.42</v>
      </c>
      <c r="F48" s="129">
        <f>IF(変換入力画面!G7="","",変換入力画面!G7)</f>
        <v>40751.440999999999</v>
      </c>
      <c r="G48" s="131">
        <f>IF(変換入力画面!H7="","",変換入力画面!H7)</f>
        <v>-91907.573000000004</v>
      </c>
      <c r="H48" s="132">
        <f>IF(変換入力画面!D7="","",ROUNDDOWN($J$20*D48+$J$22*E48+$E$36,3))</f>
        <v>40751.4</v>
      </c>
      <c r="I48" s="133">
        <f>IF(変換入力画面!D7="","",ROUNDDOWN(-$J$24*D48+$J$26*E48+$E$37,3))</f>
        <v>-91907.519</v>
      </c>
      <c r="J48" s="129">
        <f t="shared" ref="J48:J53" si="9">IF(D48="","",F48-H48)</f>
        <v>4.0999999997438863E-2</v>
      </c>
      <c r="K48" s="131">
        <f t="shared" ref="K48:K53" si="10">IF(D48="","",G48-I48)</f>
        <v>-5.400000000372529E-2</v>
      </c>
      <c r="L48" s="134">
        <f>IF(D48="","",(ROUND(SQRT((J48^2+K48^2)),6)))</f>
        <v>6.7801E-2</v>
      </c>
      <c r="M48" s="206"/>
      <c r="N48" s="20"/>
      <c r="O48" s="20"/>
      <c r="Q48" s="21"/>
      <c r="R48" s="15"/>
      <c r="S48" s="15"/>
      <c r="U48" s="22"/>
      <c r="V48" s="22"/>
    </row>
    <row r="49" spans="1:22" ht="21" customHeight="1">
      <c r="A49" s="1"/>
      <c r="B49" s="135">
        <v>2</v>
      </c>
      <c r="C49" s="230" t="str">
        <f>IF(変換入力画面!D8="","",変換入力画面!D8)</f>
        <v>K61</v>
      </c>
      <c r="D49" s="136">
        <f>IF(変換入力画面!E8="","",変換入力画面!E8)</f>
        <v>40763.1</v>
      </c>
      <c r="E49" s="138">
        <f>IF(変換入力画面!F8="","",変換入力画面!F8)</f>
        <v>-91896.176999999996</v>
      </c>
      <c r="F49" s="136">
        <f>IF(変換入力画面!G8="","",変換入力画面!G8)</f>
        <v>40763.387000000002</v>
      </c>
      <c r="G49" s="138">
        <f>IF(変換入力画面!H8="","",変換入力画面!H8)</f>
        <v>-91896.063999999998</v>
      </c>
      <c r="H49" s="139">
        <f>IF(変換入力画面!D8="","",ROUNDDOWN($J$20*D49+$J$22*E49+$E$36,3))</f>
        <v>40763.434999999998</v>
      </c>
      <c r="I49" s="140">
        <f>IF(変換入力画面!D8="","",ROUNDDOWN(-$J$24*D49+$J$26*E49+$E$37,3))</f>
        <v>-91896.115999999995</v>
      </c>
      <c r="J49" s="136">
        <f t="shared" si="9"/>
        <v>-4.7999999995226972E-2</v>
      </c>
      <c r="K49" s="138">
        <f t="shared" si="10"/>
        <v>5.1999999996041879E-2</v>
      </c>
      <c r="L49" s="141">
        <f t="shared" ref="L49:L53" si="11">IF(D49="","",(ROUND(SQRT((J49^2+K49^2)),6)))</f>
        <v>7.0766999999999997E-2</v>
      </c>
      <c r="M49" s="206"/>
      <c r="N49" s="20"/>
      <c r="O49" s="20"/>
      <c r="Q49" s="21"/>
      <c r="R49" s="15"/>
      <c r="S49" s="15"/>
      <c r="U49" s="22"/>
      <c r="V49" s="22"/>
    </row>
    <row r="50" spans="1:22" ht="21" customHeight="1">
      <c r="A50" s="1"/>
      <c r="B50" s="135">
        <v>3</v>
      </c>
      <c r="C50" s="230" t="str">
        <f>IF(変換入力画面!D9="","",変換入力画面!D9)</f>
        <v>K68</v>
      </c>
      <c r="D50" s="136">
        <f>IF(変換入力画面!E9="","",変換入力画面!E9)</f>
        <v>40746.485999999997</v>
      </c>
      <c r="E50" s="138">
        <f>IF(変換入力画面!F9="","",変換入力画面!F9)</f>
        <v>-91883.832999999999</v>
      </c>
      <c r="F50" s="136">
        <f>IF(変換入力画面!G9="","",変換入力画面!G9)</f>
        <v>40746.894</v>
      </c>
      <c r="G50" s="138">
        <f>IF(変換入力画面!H9="","",変換入力画面!H9)</f>
        <v>-91883.892000000007</v>
      </c>
      <c r="H50" s="139">
        <f>IF(変換入力画面!D9="","",ROUNDDOWN($J$20*D50+$J$22*E50+$E$36,3))</f>
        <v>40746.767999999996</v>
      </c>
      <c r="I50" s="140">
        <f>IF(変換入力画面!D9="","",ROUNDDOWN(-$J$24*D50+$J$26*E50+$E$37,3))</f>
        <v>-91883.861999999994</v>
      </c>
      <c r="J50" s="136">
        <f t="shared" si="9"/>
        <v>0.12600000000384171</v>
      </c>
      <c r="K50" s="138">
        <f t="shared" si="10"/>
        <v>-3.0000000013387762E-2</v>
      </c>
      <c r="L50" s="141">
        <f t="shared" si="11"/>
        <v>0.129522</v>
      </c>
      <c r="M50" s="206"/>
      <c r="N50" s="20"/>
      <c r="O50" s="20"/>
      <c r="Q50" s="21"/>
      <c r="R50" s="15"/>
      <c r="S50" s="15"/>
      <c r="U50" s="22"/>
      <c r="V50" s="22"/>
    </row>
    <row r="51" spans="1:22" ht="21" customHeight="1">
      <c r="A51" s="1"/>
      <c r="B51" s="135">
        <v>4</v>
      </c>
      <c r="C51" s="230" t="str">
        <f>IF(変換入力画面!D10="","",変換入力画面!D10)</f>
        <v>K62</v>
      </c>
      <c r="D51" s="136">
        <f>IF(変換入力画面!E10="","",変換入力画面!E10)</f>
        <v>40743.476999999999</v>
      </c>
      <c r="E51" s="138">
        <f>IF(変換入力画面!F10="","",変換入力画面!F10)</f>
        <v>-91881.240999999995</v>
      </c>
      <c r="F51" s="136">
        <f>IF(変換入力画面!G10="","",変換入力画面!G10)</f>
        <v>40743.688000000002</v>
      </c>
      <c r="G51" s="138">
        <f>IF(変換入力画面!H10="","",変換入力画面!H10)</f>
        <v>-91881.32</v>
      </c>
      <c r="H51" s="139">
        <f>IF(変換入力画面!D10="","",ROUNDDOWN($J$20*D51+$J$22*E51+$E$36,3))</f>
        <v>40743.750999999997</v>
      </c>
      <c r="I51" s="140">
        <f>IF(変換入力画面!D10="","",ROUNDDOWN(-$J$24*D51+$J$26*E51+$E$37,3))</f>
        <v>-91881.285000000003</v>
      </c>
      <c r="J51" s="136">
        <f t="shared" si="9"/>
        <v>-6.2999999994644895E-2</v>
      </c>
      <c r="K51" s="138">
        <f t="shared" si="10"/>
        <v>-3.500000000349246E-2</v>
      </c>
      <c r="L51" s="141">
        <f t="shared" si="11"/>
        <v>7.2068999999999994E-2</v>
      </c>
      <c r="M51" s="206"/>
      <c r="N51" s="20"/>
      <c r="O51" s="20"/>
      <c r="Q51" s="21"/>
      <c r="R51" s="15"/>
      <c r="S51" s="15"/>
      <c r="U51" s="22"/>
      <c r="V51" s="22"/>
    </row>
    <row r="52" spans="1:22" ht="21" customHeight="1">
      <c r="A52" s="1"/>
      <c r="B52" s="135">
        <v>5</v>
      </c>
      <c r="C52" s="230" t="str">
        <f>IF(変換入力画面!D11="","",変換入力画面!D11)</f>
        <v>K101</v>
      </c>
      <c r="D52" s="136">
        <f>IF(変換入力画面!E11="","",変換入力画面!E11)</f>
        <v>40734.370999999999</v>
      </c>
      <c r="E52" s="138">
        <f>IF(変換入力画面!F11="","",変換入力画面!F11)</f>
        <v>-91890.438999999998</v>
      </c>
      <c r="F52" s="136">
        <f>IF(変換入力画面!G11="","",変換入力画面!G11)</f>
        <v>40734.506000000001</v>
      </c>
      <c r="G52" s="138">
        <f>IF(変換入力画面!H11="","",変換入力画面!H11)</f>
        <v>-91890.554000000004</v>
      </c>
      <c r="H52" s="139">
        <f>IF(変換入力画面!D11="","",ROUNDDOWN($J$20*D52+$J$22*E52+$E$36,3))</f>
        <v>40734.533000000003</v>
      </c>
      <c r="I52" s="140">
        <f>IF(変換入力画面!D11="","",ROUNDDOWN(-$J$24*D52+$J$26*E52+$E$37,3))</f>
        <v>-91890.607999999993</v>
      </c>
      <c r="J52" s="136">
        <f t="shared" si="9"/>
        <v>-2.7000000001862645E-2</v>
      </c>
      <c r="K52" s="138">
        <f t="shared" si="10"/>
        <v>5.3999999989173375E-2</v>
      </c>
      <c r="L52" s="141">
        <f t="shared" si="11"/>
        <v>6.0373999999999997E-2</v>
      </c>
      <c r="M52" s="206"/>
      <c r="N52" s="20"/>
      <c r="O52" s="20"/>
      <c r="Q52" s="21"/>
      <c r="R52" s="15"/>
      <c r="S52" s="15"/>
      <c r="U52" s="22"/>
      <c r="V52" s="22"/>
    </row>
    <row r="53" spans="1:22" ht="21" customHeight="1">
      <c r="A53" s="1"/>
      <c r="B53" s="142">
        <v>6</v>
      </c>
      <c r="C53" s="230" t="str">
        <f>IF(変換入力画面!D12="","",変換入力画面!D12)</f>
        <v>K112</v>
      </c>
      <c r="D53" s="143">
        <f>IF(変換入力画面!E12="","",変換入力画面!E12)</f>
        <v>40741.838000000003</v>
      </c>
      <c r="E53" s="144">
        <f>IF(変換入力画面!F12="","",変換入力画面!F12)</f>
        <v>-91897.357999999993</v>
      </c>
      <c r="F53" s="143">
        <f>IF(変換入力画面!G12="","",変換入力画面!G12)</f>
        <v>40741.995000000003</v>
      </c>
      <c r="G53" s="144">
        <f>IF(変換入力画面!H12="","",変換入力画面!H12)</f>
        <v>-91897.479000000007</v>
      </c>
      <c r="H53" s="145">
        <f>IF(変換入力画面!D12="","",ROUNDDOWN($J$20*D53+$J$22*E53+$E$36,3))</f>
        <v>40742.017</v>
      </c>
      <c r="I53" s="146">
        <f>IF(変換入力画面!D12="","",ROUNDDOWN(-$J$24*D53+$J$26*E53+$E$37,3))</f>
        <v>-91897.493000000002</v>
      </c>
      <c r="J53" s="147">
        <f t="shared" si="9"/>
        <v>-2.1999999997206032E-2</v>
      </c>
      <c r="K53" s="148">
        <f t="shared" si="10"/>
        <v>1.3999999995576218E-2</v>
      </c>
      <c r="L53" s="149">
        <f t="shared" si="11"/>
        <v>2.6076999999999999E-2</v>
      </c>
      <c r="M53" s="206">
        <f>SQRT(SUM(L48:L53)/(I29-1))</f>
        <v>0.29209929818470975</v>
      </c>
      <c r="N53" s="20"/>
      <c r="O53" s="20"/>
      <c r="Q53" s="21"/>
      <c r="R53" s="15"/>
      <c r="S53" s="15"/>
      <c r="U53" s="22"/>
      <c r="V53" s="22"/>
    </row>
    <row r="54" spans="1:22" ht="21" customHeight="1">
      <c r="A54" s="1"/>
      <c r="B54" s="150"/>
      <c r="C54" s="151" t="s">
        <v>82</v>
      </c>
      <c r="D54" s="152" t="s">
        <v>83</v>
      </c>
      <c r="E54" s="153" t="s">
        <v>84</v>
      </c>
      <c r="F54" s="154" t="s">
        <v>83</v>
      </c>
      <c r="G54" s="155" t="s">
        <v>84</v>
      </c>
      <c r="H54" s="156" t="s">
        <v>87</v>
      </c>
      <c r="I54" s="157" t="s">
        <v>88</v>
      </c>
      <c r="J54" s="158" t="s">
        <v>85</v>
      </c>
      <c r="K54" s="159" t="s">
        <v>86</v>
      </c>
      <c r="L54" s="207" t="s">
        <v>81</v>
      </c>
      <c r="M54" s="208"/>
      <c r="N54" s="20"/>
      <c r="O54" s="20"/>
      <c r="Q54" s="21"/>
      <c r="R54" s="15"/>
      <c r="S54" s="15"/>
      <c r="U54" s="22"/>
      <c r="V54" s="22"/>
    </row>
    <row r="55" spans="1:22" ht="21" customHeight="1">
      <c r="A55" s="1"/>
      <c r="B55" s="161">
        <v>1</v>
      </c>
      <c r="C55" s="230" t="str">
        <f>IF(変換入力画面!D16="","",変換入力画面!D16)</f>
        <v>4-408</v>
      </c>
      <c r="D55" s="132">
        <f>IF(変換入力画面!E16="","",変換入力画面!E16)</f>
        <v>40770.720000000001</v>
      </c>
      <c r="E55" s="233">
        <f>IF(変換入力画面!F16="","",変換入力画面!F16)</f>
        <v>-91899.679000000004</v>
      </c>
      <c r="F55" s="132" t="str">
        <f>IF(変換入力画面!G16="","",変換入力画面!G16)</f>
        <v/>
      </c>
      <c r="G55" s="133" t="str">
        <f>IF(変換入力画面!H16="","",変換入力画面!H16)</f>
        <v/>
      </c>
      <c r="H55" s="132">
        <f>IF(変換入力画面!D16="","",ROUNDDOWN($J$20*D55+$J$22*E55+$E$36,3))</f>
        <v>40771.091</v>
      </c>
      <c r="I55" s="133">
        <f>IF(変換入力画面!D16="","",ROUNDDOWN(-$J$24*D55+$J$26*E55+$E$37,3))</f>
        <v>-91899.566999999995</v>
      </c>
      <c r="J55" s="129" t="str">
        <f>IF(F55="","",F55-H55)</f>
        <v/>
      </c>
      <c r="K55" s="130" t="str">
        <f>IF(G55="","",G55-I55)</f>
        <v/>
      </c>
      <c r="L55" s="134" t="str">
        <f>IF(F55="","",ROUND((J55^2+K55^2),6))</f>
        <v/>
      </c>
      <c r="M55" s="206"/>
      <c r="N55" s="20"/>
      <c r="O55" s="20"/>
      <c r="Q55" s="21"/>
      <c r="R55" s="15"/>
      <c r="S55" s="15"/>
      <c r="U55" s="22"/>
      <c r="V55" s="22"/>
    </row>
    <row r="56" spans="1:22" ht="21" customHeight="1">
      <c r="A56" s="1"/>
      <c r="B56" s="135">
        <v>2</v>
      </c>
      <c r="C56" s="230" t="str">
        <f>IF(変換入力画面!D17="","",変換入力画面!D17)</f>
        <v>4-409</v>
      </c>
      <c r="D56" s="234">
        <f>IF(変換入力画面!E17="","",変換入力画面!E17)</f>
        <v>40751.707999999999</v>
      </c>
      <c r="E56" s="235">
        <f>IF(変換入力画面!F17="","",変換入力画面!F17)</f>
        <v>-91890.183999999994</v>
      </c>
      <c r="F56" s="139" t="str">
        <f>IF(変換入力画面!G17="","",変換入力画面!G17)</f>
        <v/>
      </c>
      <c r="G56" s="140" t="str">
        <f>IF(変換入力画面!H17="","",変換入力画面!H17)</f>
        <v/>
      </c>
      <c r="H56" s="139">
        <f>IF(変換入力画面!D17="","",ROUNDDOWN($J$20*D56+$J$22*E56+$E$36,3))</f>
        <v>40751.993999999999</v>
      </c>
      <c r="I56" s="140">
        <f>IF(変換入力画面!D17="","",ROUNDDOWN(-$J$24*D56+$J$26*E56+$E$37,3))</f>
        <v>-91890.195999999996</v>
      </c>
      <c r="J56" s="136" t="str">
        <f t="shared" ref="J56:K68" si="12">IF(F56="","",F56-H56)</f>
        <v/>
      </c>
      <c r="K56" s="137" t="str">
        <f t="shared" si="12"/>
        <v/>
      </c>
      <c r="L56" s="141" t="str">
        <f t="shared" ref="L56:L68" si="13">IF(F56="","",ROUND((J56^2+K56^2),6))</f>
        <v/>
      </c>
      <c r="M56" s="206"/>
      <c r="N56" s="20"/>
      <c r="O56" s="20"/>
      <c r="Q56" s="21"/>
      <c r="R56" s="15"/>
      <c r="S56" s="15"/>
      <c r="U56" s="22"/>
      <c r="V56" s="22"/>
    </row>
    <row r="57" spans="1:22" ht="21" customHeight="1">
      <c r="A57" s="1"/>
      <c r="B57" s="135">
        <v>3</v>
      </c>
      <c r="C57" s="230" t="str">
        <f>IF(変換入力画面!D18="","",変換入力画面!D18)</f>
        <v/>
      </c>
      <c r="D57" s="234" t="str">
        <f>IF(変換入力画面!E18="","",変換入力画面!E18)</f>
        <v/>
      </c>
      <c r="E57" s="235" t="str">
        <f>IF(変換入力画面!F18="","",変換入力画面!F18)</f>
        <v/>
      </c>
      <c r="F57" s="139" t="str">
        <f>IF(変換入力画面!G18="","",変換入力画面!G18)</f>
        <v/>
      </c>
      <c r="G57" s="140" t="str">
        <f>IF(変換入力画面!H18="","",変換入力画面!H18)</f>
        <v/>
      </c>
      <c r="H57" s="139" t="str">
        <f>IF(変換入力画面!D18="","",ROUNDDOWN($J$20*D57+$J$22*E57+$E$36,3))</f>
        <v/>
      </c>
      <c r="I57" s="140" t="str">
        <f>IF(変換入力画面!D18="","",ROUNDDOWN(-$J$24*D57+$J$26*E57+$E$37,3))</f>
        <v/>
      </c>
      <c r="J57" s="136" t="str">
        <f t="shared" si="12"/>
        <v/>
      </c>
      <c r="K57" s="137" t="str">
        <f t="shared" si="12"/>
        <v/>
      </c>
      <c r="L57" s="141" t="str">
        <f t="shared" si="13"/>
        <v/>
      </c>
      <c r="M57" s="206"/>
      <c r="N57" s="20"/>
      <c r="O57" s="20"/>
      <c r="Q57" s="21"/>
      <c r="R57" s="15"/>
      <c r="S57" s="15"/>
      <c r="U57" s="22"/>
      <c r="V57" s="22"/>
    </row>
    <row r="58" spans="1:22" ht="21" customHeight="1">
      <c r="A58" s="1"/>
      <c r="B58" s="135">
        <v>4</v>
      </c>
      <c r="C58" s="230" t="str">
        <f>IF(変換入力画面!D19="","",変換入力画面!D19)</f>
        <v/>
      </c>
      <c r="D58" s="234" t="str">
        <f>IF(変換入力画面!E19="","",変換入力画面!E19)</f>
        <v/>
      </c>
      <c r="E58" s="235" t="str">
        <f>IF(変換入力画面!F19="","",変換入力画面!F19)</f>
        <v/>
      </c>
      <c r="F58" s="139" t="str">
        <f>IF(変換入力画面!G19="","",変換入力画面!G19)</f>
        <v/>
      </c>
      <c r="G58" s="140" t="str">
        <f>IF(変換入力画面!H19="","",変換入力画面!H19)</f>
        <v/>
      </c>
      <c r="H58" s="139" t="str">
        <f>IF(変換入力画面!D19="","",ROUNDDOWN($J$20*D58+$J$22*E58+$E$36,3))</f>
        <v/>
      </c>
      <c r="I58" s="140" t="str">
        <f>IF(変換入力画面!D19="","",ROUNDDOWN(-$J$24*D58+$J$26*E58+$E$37,3))</f>
        <v/>
      </c>
      <c r="J58" s="136" t="str">
        <f t="shared" si="12"/>
        <v/>
      </c>
      <c r="K58" s="137" t="str">
        <f t="shared" si="12"/>
        <v/>
      </c>
      <c r="L58" s="141" t="str">
        <f t="shared" si="13"/>
        <v/>
      </c>
      <c r="M58" s="206"/>
      <c r="N58" s="20"/>
      <c r="O58" s="20"/>
      <c r="Q58" s="21"/>
      <c r="R58" s="15"/>
      <c r="S58" s="15"/>
      <c r="U58" s="22"/>
      <c r="V58" s="22"/>
    </row>
    <row r="59" spans="1:22" ht="21" customHeight="1">
      <c r="A59" s="1"/>
      <c r="B59" s="135">
        <v>5</v>
      </c>
      <c r="C59" s="230" t="str">
        <f>IF(変換入力画面!D20="","",変換入力画面!D20)</f>
        <v/>
      </c>
      <c r="D59" s="234" t="str">
        <f>IF(変換入力画面!E20="","",変換入力画面!E20)</f>
        <v/>
      </c>
      <c r="E59" s="235" t="str">
        <f>IF(変換入力画面!F20="","",変換入力画面!F20)</f>
        <v/>
      </c>
      <c r="F59" s="139" t="str">
        <f>IF(変換入力画面!G20="","",変換入力画面!G20)</f>
        <v/>
      </c>
      <c r="G59" s="140" t="str">
        <f>IF(変換入力画面!H20="","",変換入力画面!H20)</f>
        <v/>
      </c>
      <c r="H59" s="139" t="str">
        <f>IF(変換入力画面!D20="","",ROUNDDOWN($J$20*D59+$J$22*E59+$E$36,3))</f>
        <v/>
      </c>
      <c r="I59" s="140" t="str">
        <f>IF(変換入力画面!D20="","",ROUNDDOWN(-$J$24*D59+$J$26*E59+$E$37,3))</f>
        <v/>
      </c>
      <c r="J59" s="136" t="str">
        <f t="shared" si="12"/>
        <v/>
      </c>
      <c r="K59" s="137" t="str">
        <f t="shared" si="12"/>
        <v/>
      </c>
      <c r="L59" s="141" t="str">
        <f t="shared" si="13"/>
        <v/>
      </c>
      <c r="M59" s="206"/>
      <c r="N59" s="20"/>
      <c r="O59" s="20"/>
      <c r="Q59" s="21"/>
      <c r="R59" s="15"/>
      <c r="S59" s="15"/>
      <c r="U59" s="22"/>
      <c r="V59" s="22"/>
    </row>
    <row r="60" spans="1:22" ht="21" customHeight="1">
      <c r="A60" s="1"/>
      <c r="B60" s="135">
        <v>6</v>
      </c>
      <c r="C60" s="230" t="str">
        <f>IF(変換入力画面!D21="","",変換入力画面!D21)</f>
        <v/>
      </c>
      <c r="D60" s="234" t="str">
        <f>IF(変換入力画面!E21="","",変換入力画面!E21)</f>
        <v/>
      </c>
      <c r="E60" s="235" t="str">
        <f>IF(変換入力画面!F21="","",変換入力画面!F21)</f>
        <v/>
      </c>
      <c r="F60" s="139" t="str">
        <f>IF(変換入力画面!G21="","",変換入力画面!G21)</f>
        <v/>
      </c>
      <c r="G60" s="140" t="str">
        <f>IF(変換入力画面!H21="","",変換入力画面!H21)</f>
        <v/>
      </c>
      <c r="H60" s="139" t="str">
        <f>IF(変換入力画面!D21="","",ROUNDDOWN($J$20*D60+$J$22*E60+$E$36,3))</f>
        <v/>
      </c>
      <c r="I60" s="140" t="str">
        <f>IF(変換入力画面!D21="","",ROUNDDOWN(-$J$24*D60+$J$26*E60+$E$37,3))</f>
        <v/>
      </c>
      <c r="J60" s="136" t="str">
        <f t="shared" si="12"/>
        <v/>
      </c>
      <c r="K60" s="137" t="str">
        <f t="shared" si="12"/>
        <v/>
      </c>
      <c r="L60" s="141" t="str">
        <f t="shared" si="13"/>
        <v/>
      </c>
      <c r="M60" s="206"/>
      <c r="N60" s="20"/>
      <c r="O60" s="20"/>
      <c r="Q60" s="21"/>
      <c r="R60" s="15"/>
      <c r="S60" s="15"/>
      <c r="U60" s="22"/>
      <c r="V60" s="22"/>
    </row>
    <row r="61" spans="1:22" ht="22.15" customHeight="1">
      <c r="A61" s="1"/>
      <c r="B61" s="164">
        <v>7</v>
      </c>
      <c r="C61" s="230" t="str">
        <f>IF(変換入力画面!D22="","",変換入力画面!D22)</f>
        <v/>
      </c>
      <c r="D61" s="234" t="str">
        <f>IF(変換入力画面!E22="","",変換入力画面!E22)</f>
        <v/>
      </c>
      <c r="E61" s="235" t="str">
        <f>IF(変換入力画面!F22="","",変換入力画面!F22)</f>
        <v/>
      </c>
      <c r="F61" s="139" t="str">
        <f>IF(変換入力画面!G22="","",変換入力画面!G22)</f>
        <v/>
      </c>
      <c r="G61" s="140" t="str">
        <f>IF(変換入力画面!H22="","",変換入力画面!H22)</f>
        <v/>
      </c>
      <c r="H61" s="139" t="str">
        <f>IF(変換入力画面!D22="","",ROUNDDOWN($J$20*D61+$J$22*E61+$E$36,3))</f>
        <v/>
      </c>
      <c r="I61" s="140" t="str">
        <f>IF(変換入力画面!D22="","",ROUNDDOWN(-$J$24*D61+$J$26*E61+$E$37,3))</f>
        <v/>
      </c>
      <c r="J61" s="136" t="str">
        <f t="shared" si="12"/>
        <v/>
      </c>
      <c r="K61" s="137" t="str">
        <f t="shared" si="12"/>
        <v/>
      </c>
      <c r="L61" s="141" t="str">
        <f t="shared" si="13"/>
        <v/>
      </c>
      <c r="M61" s="206"/>
      <c r="N61" s="20"/>
      <c r="O61" s="20"/>
      <c r="Q61" s="21"/>
      <c r="R61" s="15"/>
      <c r="S61" s="15"/>
      <c r="U61" s="22"/>
      <c r="V61" s="22"/>
    </row>
    <row r="62" spans="1:22" ht="22.15" customHeight="1">
      <c r="B62" s="165">
        <v>8</v>
      </c>
      <c r="C62" s="230" t="str">
        <f>IF(変換入力画面!D23="","",変換入力画面!D23)</f>
        <v/>
      </c>
      <c r="D62" s="234" t="str">
        <f>IF(変換入力画面!E23="","",変換入力画面!E23)</f>
        <v/>
      </c>
      <c r="E62" s="235" t="str">
        <f>IF(変換入力画面!F23="","",変換入力画面!F23)</f>
        <v/>
      </c>
      <c r="F62" s="139" t="str">
        <f>IF(変換入力画面!G23="","",変換入力画面!G23)</f>
        <v/>
      </c>
      <c r="G62" s="140" t="str">
        <f>IF(変換入力画面!H23="","",変換入力画面!H23)</f>
        <v/>
      </c>
      <c r="H62" s="139" t="str">
        <f>IF(変換入力画面!D23="","",ROUNDDOWN($J$20*D62+$J$22*E62+$E$36,3))</f>
        <v/>
      </c>
      <c r="I62" s="140" t="str">
        <f>IF(変換入力画面!D23="","",ROUNDDOWN(-$J$24*D62+$J$26*E62+$E$37,3))</f>
        <v/>
      </c>
      <c r="J62" s="136" t="str">
        <f t="shared" si="12"/>
        <v/>
      </c>
      <c r="K62" s="137" t="str">
        <f t="shared" si="12"/>
        <v/>
      </c>
      <c r="L62" s="141" t="str">
        <f t="shared" si="13"/>
        <v/>
      </c>
      <c r="M62" s="209"/>
      <c r="N62" s="166"/>
      <c r="O62" s="166"/>
      <c r="Q62" s="21"/>
      <c r="R62" s="15"/>
      <c r="S62" s="15"/>
      <c r="U62" s="22"/>
      <c r="V62" s="22"/>
    </row>
    <row r="63" spans="1:22" ht="22.15" customHeight="1">
      <c r="B63" s="165">
        <v>9</v>
      </c>
      <c r="C63" s="230" t="str">
        <f>IF(変換入力画面!D24="","",変換入力画面!D24)</f>
        <v/>
      </c>
      <c r="D63" s="234" t="str">
        <f>IF(変換入力画面!E24="","",変換入力画面!E24)</f>
        <v/>
      </c>
      <c r="E63" s="235" t="str">
        <f>IF(変換入力画面!F24="","",変換入力画面!F24)</f>
        <v/>
      </c>
      <c r="F63" s="139" t="str">
        <f>IF(変換入力画面!G24="","",変換入力画面!G24)</f>
        <v/>
      </c>
      <c r="G63" s="140" t="str">
        <f>IF(変換入力画面!H24="","",変換入力画面!H24)</f>
        <v/>
      </c>
      <c r="H63" s="139" t="str">
        <f>IF(変換入力画面!D24="","",ROUNDDOWN($J$20*D63+$J$22*E63+$E$36,3))</f>
        <v/>
      </c>
      <c r="I63" s="140" t="str">
        <f>IF(変換入力画面!D24="","",ROUNDDOWN(-$J$24*D63+$J$26*E63+$E$37,3))</f>
        <v/>
      </c>
      <c r="J63" s="136" t="str">
        <f t="shared" si="12"/>
        <v/>
      </c>
      <c r="K63" s="137" t="str">
        <f t="shared" si="12"/>
        <v/>
      </c>
      <c r="L63" s="141" t="str">
        <f t="shared" si="13"/>
        <v/>
      </c>
      <c r="M63" s="209"/>
      <c r="N63" s="166"/>
      <c r="O63" s="166"/>
      <c r="Q63" s="21"/>
      <c r="R63" s="15"/>
      <c r="S63" s="15"/>
      <c r="U63" s="22"/>
      <c r="V63" s="22"/>
    </row>
    <row r="64" spans="1:22" ht="22.15" customHeight="1">
      <c r="B64" s="165">
        <v>10</v>
      </c>
      <c r="C64" s="230" t="str">
        <f>IF(変換入力画面!D25="","",変換入力画面!D25)</f>
        <v/>
      </c>
      <c r="D64" s="234" t="str">
        <f>IF(変換入力画面!E25="","",変換入力画面!E25)</f>
        <v/>
      </c>
      <c r="E64" s="235" t="str">
        <f>IF(変換入力画面!F25="","",変換入力画面!F25)</f>
        <v/>
      </c>
      <c r="F64" s="139" t="str">
        <f>IF(変換入力画面!G25="","",変換入力画面!G25)</f>
        <v/>
      </c>
      <c r="G64" s="140" t="str">
        <f>IF(変換入力画面!H25="","",変換入力画面!H25)</f>
        <v/>
      </c>
      <c r="H64" s="139" t="str">
        <f>IF(変換入力画面!D25="","",ROUNDDOWN($J$20*D64+$J$22*E64+$E$36,3))</f>
        <v/>
      </c>
      <c r="I64" s="140" t="str">
        <f>IF(変換入力画面!D25="","",ROUNDDOWN(-$J$24*D64+$J$26*E64+$E$37,3))</f>
        <v/>
      </c>
      <c r="J64" s="136" t="str">
        <f t="shared" si="12"/>
        <v/>
      </c>
      <c r="K64" s="137" t="str">
        <f t="shared" si="12"/>
        <v/>
      </c>
      <c r="L64" s="141" t="str">
        <f t="shared" si="13"/>
        <v/>
      </c>
      <c r="M64" s="209"/>
      <c r="N64" s="166"/>
      <c r="O64" s="166"/>
      <c r="Q64" s="21"/>
      <c r="R64" s="15"/>
      <c r="S64" s="15"/>
      <c r="U64" s="22"/>
      <c r="V64" s="22"/>
    </row>
    <row r="65" spans="2:22" ht="22.15" customHeight="1">
      <c r="B65" s="165">
        <v>11</v>
      </c>
      <c r="C65" s="230" t="str">
        <f>IF(変換入力画面!D26="","",変換入力画面!D26)</f>
        <v/>
      </c>
      <c r="D65" s="234" t="str">
        <f>IF(変換入力画面!E26="","",変換入力画面!E26)</f>
        <v/>
      </c>
      <c r="E65" s="235" t="str">
        <f>IF(変換入力画面!F26="","",変換入力画面!F26)</f>
        <v/>
      </c>
      <c r="F65" s="139" t="str">
        <f>IF(変換入力画面!G26="","",変換入力画面!G26)</f>
        <v/>
      </c>
      <c r="G65" s="140" t="str">
        <f>IF(変換入力画面!H26="","",変換入力画面!H26)</f>
        <v/>
      </c>
      <c r="H65" s="139" t="str">
        <f>IF(変換入力画面!D26="","",ROUNDDOWN($J$20*D65+$J$22*E65+$E$36,3))</f>
        <v/>
      </c>
      <c r="I65" s="140" t="str">
        <f>IF(変換入力画面!D26="","",ROUNDDOWN(-$J$24*D65+$J$26*E65+$E$37,3))</f>
        <v/>
      </c>
      <c r="J65" s="136" t="str">
        <f t="shared" si="12"/>
        <v/>
      </c>
      <c r="K65" s="137" t="str">
        <f t="shared" si="12"/>
        <v/>
      </c>
      <c r="L65" s="141" t="str">
        <f t="shared" si="13"/>
        <v/>
      </c>
      <c r="M65" s="209"/>
      <c r="N65" s="166"/>
      <c r="O65" s="166"/>
      <c r="Q65" s="21"/>
      <c r="R65" s="15"/>
      <c r="S65" s="15"/>
      <c r="U65" s="22"/>
      <c r="V65" s="22"/>
    </row>
    <row r="66" spans="2:22" ht="22.15" customHeight="1">
      <c r="B66" s="167">
        <v>12</v>
      </c>
      <c r="C66" s="230" t="str">
        <f>IF(変換入力画面!D27="","",変換入力画面!D27)</f>
        <v/>
      </c>
      <c r="D66" s="234" t="str">
        <f>IF(変換入力画面!E27="","",変換入力画面!E27)</f>
        <v/>
      </c>
      <c r="E66" s="235" t="str">
        <f>IF(変換入力画面!F27="","",変換入力画面!F27)</f>
        <v/>
      </c>
      <c r="F66" s="139" t="str">
        <f>IF(変換入力画面!G27="","",変換入力画面!G27)</f>
        <v/>
      </c>
      <c r="G66" s="140" t="str">
        <f>IF(変換入力画面!H27="","",変換入力画面!H27)</f>
        <v/>
      </c>
      <c r="H66" s="139" t="str">
        <f>IF(変換入力画面!D27="","",ROUNDDOWN($J$20*D66+$J$22*E66+$E$36,3))</f>
        <v/>
      </c>
      <c r="I66" s="140" t="str">
        <f>IF(変換入力画面!D27="","",ROUNDDOWN(-$J$24*D66+$J$26*E66+$E$37,3))</f>
        <v/>
      </c>
      <c r="J66" s="136" t="str">
        <f t="shared" si="12"/>
        <v/>
      </c>
      <c r="K66" s="137" t="str">
        <f t="shared" si="12"/>
        <v/>
      </c>
      <c r="L66" s="141" t="str">
        <f t="shared" si="13"/>
        <v/>
      </c>
      <c r="M66" s="209"/>
      <c r="N66" s="166"/>
      <c r="O66" s="166"/>
      <c r="Q66" s="21"/>
      <c r="R66" s="15"/>
      <c r="S66" s="15"/>
      <c r="U66" s="22"/>
      <c r="V66" s="22"/>
    </row>
    <row r="67" spans="2:22" ht="22.9" customHeight="1">
      <c r="B67" s="168">
        <v>13</v>
      </c>
      <c r="C67" s="230" t="str">
        <f>IF(変換入力画面!D28="","",変換入力画面!D28)</f>
        <v/>
      </c>
      <c r="D67" s="234" t="str">
        <f>IF(変換入力画面!E28="","",変換入力画面!E28)</f>
        <v/>
      </c>
      <c r="E67" s="235" t="str">
        <f>IF(変換入力画面!F28="","",変換入力画面!F28)</f>
        <v/>
      </c>
      <c r="F67" s="139" t="str">
        <f>IF(変換入力画面!G28="","",変換入力画面!G28)</f>
        <v/>
      </c>
      <c r="G67" s="140" t="str">
        <f>IF(変換入力画面!H28="","",変換入力画面!H28)</f>
        <v/>
      </c>
      <c r="H67" s="139" t="str">
        <f>IF(変換入力画面!D28="","",ROUNDDOWN($J$20*D67+$J$22*E67+$E$36,3))</f>
        <v/>
      </c>
      <c r="I67" s="140" t="str">
        <f>IF(変換入力画面!D28="","",ROUNDDOWN(-$J$24*D67+$J$26*E67+$E$37,3))</f>
        <v/>
      </c>
      <c r="J67" s="136" t="str">
        <f t="shared" si="12"/>
        <v/>
      </c>
      <c r="K67" s="137" t="str">
        <f t="shared" si="12"/>
        <v/>
      </c>
      <c r="L67" s="141" t="str">
        <f t="shared" si="13"/>
        <v/>
      </c>
      <c r="M67" s="210"/>
      <c r="N67" s="210"/>
    </row>
    <row r="68" spans="2:22" ht="22.9" customHeight="1">
      <c r="B68" s="168">
        <v>14</v>
      </c>
      <c r="C68" s="230" t="str">
        <f>IF(変換入力画面!D29="","",変換入力画面!D29)</f>
        <v/>
      </c>
      <c r="D68" s="234" t="str">
        <f>IF(変換入力画面!E29="","",変換入力画面!E29)</f>
        <v/>
      </c>
      <c r="E68" s="235" t="str">
        <f>IF(変換入力画面!F29="","",変換入力画面!F29)</f>
        <v/>
      </c>
      <c r="F68" s="139" t="str">
        <f>IF(変換入力画面!G29="","",変換入力画面!G29)</f>
        <v/>
      </c>
      <c r="G68" s="140" t="str">
        <f>IF(変換入力画面!H29="","",変換入力画面!H29)</f>
        <v/>
      </c>
      <c r="H68" s="139" t="str">
        <f>IF(変換入力画面!D29="","",ROUNDDOWN($J$20*D68+$J$22*E68+$E$36,3))</f>
        <v/>
      </c>
      <c r="I68" s="140" t="str">
        <f>IF(変換入力画面!D29="","",ROUNDDOWN(-$J$24*D68+$J$26*E68+$E$37,3))</f>
        <v/>
      </c>
      <c r="J68" s="136" t="str">
        <f t="shared" si="12"/>
        <v/>
      </c>
      <c r="K68" s="137" t="str">
        <f t="shared" si="12"/>
        <v/>
      </c>
      <c r="L68" s="141" t="str">
        <f t="shared" si="13"/>
        <v/>
      </c>
    </row>
    <row r="69" spans="2:22" ht="22.9" customHeight="1">
      <c r="B69" s="168">
        <v>15</v>
      </c>
      <c r="C69" s="230" t="str">
        <f>IF(変換入力画面!D30="","",変換入力画面!D30)</f>
        <v/>
      </c>
      <c r="D69" s="234" t="str">
        <f>IF(変換入力画面!E30="","",変換入力画面!E30)</f>
        <v/>
      </c>
      <c r="E69" s="235" t="str">
        <f>IF(変換入力画面!F30="","",変換入力画面!F30)</f>
        <v/>
      </c>
      <c r="F69" s="139" t="str">
        <f>IF(変換入力画面!G30="","",変換入力画面!G30)</f>
        <v/>
      </c>
      <c r="G69" s="140" t="str">
        <f>IF(変換入力画面!H30="","",変換入力画面!H30)</f>
        <v/>
      </c>
      <c r="H69" s="139" t="str">
        <f>IF(変換入力画面!D30="","",ROUNDDOWN($J$20*D69+$J$22*E69+$E$36,3))</f>
        <v/>
      </c>
      <c r="I69" s="140" t="str">
        <f>IF(変換入力画面!D30="","",ROUNDDOWN(-$J$24*D69+$J$26*E69+$E$37,3))</f>
        <v/>
      </c>
      <c r="J69" s="136" t="str">
        <f t="shared" ref="J69:J78" si="14">IF(F69="","",F69-H69)</f>
        <v/>
      </c>
      <c r="K69" s="137" t="str">
        <f t="shared" ref="K69:K78" si="15">IF(G69="","",G69-I69)</f>
        <v/>
      </c>
      <c r="L69" s="141" t="str">
        <f t="shared" ref="L69:L78" si="16">IF(F69="","",ROUND((J69^2+K69^2),6))</f>
        <v/>
      </c>
    </row>
    <row r="70" spans="2:22" ht="22.9" customHeight="1">
      <c r="B70" s="168">
        <v>16</v>
      </c>
      <c r="C70" s="230" t="str">
        <f>IF(変換入力画面!D31="","",変換入力画面!D31)</f>
        <v/>
      </c>
      <c r="D70" s="234" t="str">
        <f>IF(変換入力画面!E31="","",変換入力画面!E31)</f>
        <v/>
      </c>
      <c r="E70" s="235" t="str">
        <f>IF(変換入力画面!F31="","",変換入力画面!F31)</f>
        <v/>
      </c>
      <c r="F70" s="139" t="str">
        <f>IF(変換入力画面!G31="","",変換入力画面!G31)</f>
        <v/>
      </c>
      <c r="G70" s="140" t="str">
        <f>IF(変換入力画面!H31="","",変換入力画面!H31)</f>
        <v/>
      </c>
      <c r="H70" s="139" t="str">
        <f>IF(変換入力画面!D31="","",ROUNDDOWN($J$20*D70+$J$22*E70+$E$36,3))</f>
        <v/>
      </c>
      <c r="I70" s="140" t="str">
        <f>IF(変換入力画面!D31="","",ROUNDDOWN(-$J$24*D70+$J$26*E70+$E$37,3))</f>
        <v/>
      </c>
      <c r="J70" s="136" t="str">
        <f t="shared" si="14"/>
        <v/>
      </c>
      <c r="K70" s="137" t="str">
        <f t="shared" si="15"/>
        <v/>
      </c>
      <c r="L70" s="141" t="str">
        <f t="shared" si="16"/>
        <v/>
      </c>
    </row>
    <row r="71" spans="2:22" ht="22.9" customHeight="1">
      <c r="B71" s="168">
        <v>17</v>
      </c>
      <c r="C71" s="230" t="str">
        <f>IF(変換入力画面!D32="","",変換入力画面!D32)</f>
        <v/>
      </c>
      <c r="D71" s="234" t="str">
        <f>IF(変換入力画面!E32="","",変換入力画面!E32)</f>
        <v/>
      </c>
      <c r="E71" s="235" t="str">
        <f>IF(変換入力画面!F32="","",変換入力画面!F32)</f>
        <v/>
      </c>
      <c r="F71" s="139" t="str">
        <f>IF(変換入力画面!G32="","",変換入力画面!G32)</f>
        <v/>
      </c>
      <c r="G71" s="140" t="str">
        <f>IF(変換入力画面!H32="","",変換入力画面!H32)</f>
        <v/>
      </c>
      <c r="H71" s="139" t="str">
        <f>IF(変換入力画面!D32="","",ROUNDDOWN($J$20*D71+$J$22*E71+$E$36,3))</f>
        <v/>
      </c>
      <c r="I71" s="140" t="str">
        <f>IF(変換入力画面!D32="","",ROUNDDOWN(-$J$24*D71+$J$26*E71+$E$37,3))</f>
        <v/>
      </c>
      <c r="J71" s="136" t="str">
        <f t="shared" si="14"/>
        <v/>
      </c>
      <c r="K71" s="137" t="str">
        <f t="shared" si="15"/>
        <v/>
      </c>
      <c r="L71" s="141" t="str">
        <f t="shared" si="16"/>
        <v/>
      </c>
    </row>
    <row r="72" spans="2:22" ht="22.9" customHeight="1">
      <c r="B72" s="168">
        <v>18</v>
      </c>
      <c r="C72" s="230" t="str">
        <f>IF(変換入力画面!D33="","",変換入力画面!D33)</f>
        <v/>
      </c>
      <c r="D72" s="234" t="str">
        <f>IF(変換入力画面!E33="","",変換入力画面!E33)</f>
        <v/>
      </c>
      <c r="E72" s="235" t="str">
        <f>IF(変換入力画面!F33="","",変換入力画面!F33)</f>
        <v/>
      </c>
      <c r="F72" s="139" t="str">
        <f>IF(変換入力画面!G33="","",変換入力画面!G33)</f>
        <v/>
      </c>
      <c r="G72" s="140" t="str">
        <f>IF(変換入力画面!H33="","",変換入力画面!H33)</f>
        <v/>
      </c>
      <c r="H72" s="139" t="str">
        <f>IF(変換入力画面!D33="","",ROUNDDOWN($J$20*D72+$J$22*E72+$E$36,3))</f>
        <v/>
      </c>
      <c r="I72" s="140" t="str">
        <f>IF(変換入力画面!D33="","",ROUNDDOWN(-$J$24*D72+$J$26*E72+$E$37,3))</f>
        <v/>
      </c>
      <c r="J72" s="136" t="str">
        <f t="shared" si="14"/>
        <v/>
      </c>
      <c r="K72" s="137" t="str">
        <f t="shared" si="15"/>
        <v/>
      </c>
      <c r="L72" s="141" t="str">
        <f t="shared" si="16"/>
        <v/>
      </c>
    </row>
    <row r="73" spans="2:22" ht="22.9" customHeight="1">
      <c r="B73" s="168">
        <v>19</v>
      </c>
      <c r="C73" s="230" t="str">
        <f>IF(変換入力画面!D34="","",変換入力画面!D34)</f>
        <v/>
      </c>
      <c r="D73" s="234" t="str">
        <f>IF(変換入力画面!E34="","",変換入力画面!E34)</f>
        <v/>
      </c>
      <c r="E73" s="235" t="str">
        <f>IF(変換入力画面!F34="","",変換入力画面!F34)</f>
        <v/>
      </c>
      <c r="F73" s="139" t="str">
        <f>IF(変換入力画面!G34="","",変換入力画面!G34)</f>
        <v/>
      </c>
      <c r="G73" s="140" t="str">
        <f>IF(変換入力画面!H34="","",変換入力画面!H34)</f>
        <v/>
      </c>
      <c r="H73" s="139" t="str">
        <f>IF(変換入力画面!D34="","",ROUNDDOWN($J$20*D73+$J$22*E73+$E$36,3))</f>
        <v/>
      </c>
      <c r="I73" s="140" t="str">
        <f>IF(変換入力画面!D34="","",ROUNDDOWN(-$J$24*D73+$J$26*E73+$E$37,3))</f>
        <v/>
      </c>
      <c r="J73" s="136" t="str">
        <f t="shared" si="14"/>
        <v/>
      </c>
      <c r="K73" s="137" t="str">
        <f t="shared" si="15"/>
        <v/>
      </c>
      <c r="L73" s="141" t="str">
        <f t="shared" si="16"/>
        <v/>
      </c>
    </row>
    <row r="74" spans="2:22" ht="22.9" customHeight="1">
      <c r="B74" s="168">
        <v>20</v>
      </c>
      <c r="C74" s="230" t="str">
        <f>IF(変換入力画面!D35="","",変換入力画面!D35)</f>
        <v/>
      </c>
      <c r="D74" s="234" t="str">
        <f>IF(変換入力画面!E35="","",変換入力画面!E35)</f>
        <v/>
      </c>
      <c r="E74" s="235" t="str">
        <f>IF(変換入力画面!F35="","",変換入力画面!F35)</f>
        <v/>
      </c>
      <c r="F74" s="139" t="str">
        <f>IF(変換入力画面!G35="","",変換入力画面!G35)</f>
        <v/>
      </c>
      <c r="G74" s="140" t="str">
        <f>IF(変換入力画面!H35="","",変換入力画面!H35)</f>
        <v/>
      </c>
      <c r="H74" s="139" t="str">
        <f>IF(変換入力画面!D35="","",ROUNDDOWN($J$20*D74+$J$22*E74+$E$36,3))</f>
        <v/>
      </c>
      <c r="I74" s="140" t="str">
        <f>IF(変換入力画面!D35="","",ROUNDDOWN(-$J$24*D74+$J$26*E74+$E$37,3))</f>
        <v/>
      </c>
      <c r="J74" s="136" t="str">
        <f t="shared" si="14"/>
        <v/>
      </c>
      <c r="K74" s="137" t="str">
        <f t="shared" si="15"/>
        <v/>
      </c>
      <c r="L74" s="141" t="str">
        <f t="shared" si="16"/>
        <v/>
      </c>
    </row>
    <row r="75" spans="2:22" ht="22.9" customHeight="1">
      <c r="B75" s="168">
        <v>21</v>
      </c>
      <c r="C75" s="230" t="str">
        <f>IF(変換入力画面!D36="","",変換入力画面!D36)</f>
        <v/>
      </c>
      <c r="D75" s="234" t="str">
        <f>IF(変換入力画面!E36="","",変換入力画面!E36)</f>
        <v/>
      </c>
      <c r="E75" s="235" t="str">
        <f>IF(変換入力画面!F36="","",変換入力画面!F36)</f>
        <v/>
      </c>
      <c r="F75" s="139" t="str">
        <f>IF(変換入力画面!G36="","",変換入力画面!G36)</f>
        <v/>
      </c>
      <c r="G75" s="140" t="str">
        <f>IF(変換入力画面!H36="","",変換入力画面!H36)</f>
        <v/>
      </c>
      <c r="H75" s="139" t="str">
        <f>IF(変換入力画面!D36="","",ROUNDDOWN($J$20*D75+$J$22*E75+$E$36,3))</f>
        <v/>
      </c>
      <c r="I75" s="140" t="str">
        <f>IF(変換入力画面!D36="","",ROUNDDOWN(-$J$24*D75+$J$26*E75+$E$37,3))</f>
        <v/>
      </c>
      <c r="J75" s="136" t="str">
        <f t="shared" si="14"/>
        <v/>
      </c>
      <c r="K75" s="137" t="str">
        <f t="shared" si="15"/>
        <v/>
      </c>
      <c r="L75" s="141" t="str">
        <f t="shared" si="16"/>
        <v/>
      </c>
    </row>
    <row r="76" spans="2:22" ht="22.9" customHeight="1">
      <c r="B76" s="168">
        <v>22</v>
      </c>
      <c r="C76" s="230" t="str">
        <f>IF(変換入力画面!D37="","",変換入力画面!D37)</f>
        <v/>
      </c>
      <c r="D76" s="234" t="str">
        <f>IF(変換入力画面!E37="","",変換入力画面!E37)</f>
        <v/>
      </c>
      <c r="E76" s="235" t="str">
        <f>IF(変換入力画面!F37="","",変換入力画面!F37)</f>
        <v/>
      </c>
      <c r="F76" s="139" t="str">
        <f>IF(変換入力画面!G37="","",変換入力画面!G37)</f>
        <v/>
      </c>
      <c r="G76" s="140" t="str">
        <f>IF(変換入力画面!H37="","",変換入力画面!H37)</f>
        <v/>
      </c>
      <c r="H76" s="139" t="str">
        <f>IF(変換入力画面!D37="","",ROUNDDOWN($J$20*D76+$J$22*E76+$E$36,3))</f>
        <v/>
      </c>
      <c r="I76" s="140" t="str">
        <f>IF(変換入力画面!D37="","",ROUNDDOWN(-$J$24*D76+$J$26*E76+$E$37,3))</f>
        <v/>
      </c>
      <c r="J76" s="136" t="str">
        <f t="shared" si="14"/>
        <v/>
      </c>
      <c r="K76" s="137" t="str">
        <f t="shared" si="15"/>
        <v/>
      </c>
      <c r="L76" s="141" t="str">
        <f t="shared" si="16"/>
        <v/>
      </c>
    </row>
    <row r="77" spans="2:22" ht="22.9" customHeight="1">
      <c r="B77" s="168">
        <v>23</v>
      </c>
      <c r="C77" s="230" t="str">
        <f>IF(変換入力画面!D38="","",変換入力画面!D38)</f>
        <v/>
      </c>
      <c r="D77" s="234" t="str">
        <f>IF(変換入力画面!E38="","",変換入力画面!E38)</f>
        <v/>
      </c>
      <c r="E77" s="235" t="str">
        <f>IF(変換入力画面!F38="","",変換入力画面!F38)</f>
        <v/>
      </c>
      <c r="F77" s="139" t="str">
        <f>IF(変換入力画面!G38="","",変換入力画面!G38)</f>
        <v/>
      </c>
      <c r="G77" s="140" t="str">
        <f>IF(変換入力画面!H38="","",変換入力画面!H38)</f>
        <v/>
      </c>
      <c r="H77" s="139" t="str">
        <f>IF(変換入力画面!D38="","",ROUNDDOWN($J$20*D77+$J$22*E77+$E$36,3))</f>
        <v/>
      </c>
      <c r="I77" s="140" t="str">
        <f>IF(変換入力画面!D38="","",ROUNDDOWN(-$J$24*D77+$J$26*E77+$E$37,3))</f>
        <v/>
      </c>
      <c r="J77" s="136" t="str">
        <f t="shared" si="14"/>
        <v/>
      </c>
      <c r="K77" s="137" t="str">
        <f t="shared" si="15"/>
        <v/>
      </c>
      <c r="L77" s="141" t="str">
        <f t="shared" si="16"/>
        <v/>
      </c>
    </row>
    <row r="78" spans="2:22" ht="22.9" customHeight="1" thickBot="1">
      <c r="B78" s="169">
        <v>24</v>
      </c>
      <c r="C78" s="231" t="str">
        <f>IF(変換入力画面!D39="","",変換入力画面!D39)</f>
        <v/>
      </c>
      <c r="D78" s="170" t="str">
        <f>IF(変換入力画面!E39="","",変換入力画面!E39)</f>
        <v/>
      </c>
      <c r="E78" s="232" t="str">
        <f>IF(変換入力画面!F39="","",変換入力画面!F39)</f>
        <v/>
      </c>
      <c r="F78" s="170" t="str">
        <f>IF(変換入力画面!G39="","",変換入力画面!G39)</f>
        <v/>
      </c>
      <c r="G78" s="171" t="str">
        <f>IF(変換入力画面!H39="","",変換入力画面!H39)</f>
        <v/>
      </c>
      <c r="H78" s="170" t="str">
        <f>IF(変換入力画面!D39="","",ROUNDDOWN($J$20*D78+$J$22*E78+$E$36,3))</f>
        <v/>
      </c>
      <c r="I78" s="171" t="str">
        <f>IF(変換入力画面!D39="","",ROUNDDOWN(-$J$24*D78+$J$26*E78+$E$37,3))</f>
        <v/>
      </c>
      <c r="J78" s="172" t="str">
        <f t="shared" si="14"/>
        <v/>
      </c>
      <c r="K78" s="173" t="str">
        <f t="shared" si="15"/>
        <v/>
      </c>
      <c r="L78" s="174" t="str">
        <f t="shared" si="16"/>
        <v/>
      </c>
    </row>
    <row r="79" spans="2:22" ht="22.15" customHeight="1"/>
    <row r="80" spans="2:22" ht="22.15" customHeight="1">
      <c r="C80" s="223" t="s">
        <v>51</v>
      </c>
      <c r="D80" s="224">
        <f>J20</f>
        <v>1.00709</v>
      </c>
      <c r="E80" s="223" t="s">
        <v>54</v>
      </c>
      <c r="F80" s="224">
        <f>J22</f>
        <v>5.2259999999999997E-3</v>
      </c>
      <c r="G80" s="223" t="s">
        <v>56</v>
      </c>
      <c r="H80" s="224">
        <f>J24</f>
        <v>-8.9460000000000008E-3</v>
      </c>
      <c r="I80" s="223" t="s">
        <v>59</v>
      </c>
      <c r="J80" s="224">
        <f>J26</f>
        <v>1.004756</v>
      </c>
      <c r="K80" s="223"/>
      <c r="L80" s="222"/>
    </row>
    <row r="81" spans="3:12" ht="22.15" customHeight="1">
      <c r="C81" s="227"/>
      <c r="D81" s="227"/>
      <c r="E81" s="228" t="s">
        <v>114</v>
      </c>
      <c r="F81" s="225">
        <f>J29</f>
        <v>191.57499999999999</v>
      </c>
      <c r="G81" s="226" t="s">
        <v>107</v>
      </c>
      <c r="H81" s="229">
        <f>J31</f>
        <v>72.451999999999998</v>
      </c>
      <c r="I81" s="228" t="s">
        <v>102</v>
      </c>
      <c r="J81" s="224">
        <f>F33</f>
        <v>1.0071030000000001</v>
      </c>
      <c r="K81" s="228" t="s">
        <v>116</v>
      </c>
      <c r="L81" s="224">
        <f>F34</f>
        <v>1.0047950000000001</v>
      </c>
    </row>
    <row r="82" spans="3:12" ht="22.15" customHeight="1"/>
    <row r="83" spans="3:12" ht="22.15" customHeight="1"/>
    <row r="84" spans="3:12" ht="22.15" customHeight="1"/>
  </sheetData>
  <mergeCells count="20">
    <mergeCell ref="L46:L47"/>
    <mergeCell ref="B39:B42"/>
    <mergeCell ref="C39:D39"/>
    <mergeCell ref="C41:D41"/>
    <mergeCell ref="D45:J45"/>
    <mergeCell ref="D46:E46"/>
    <mergeCell ref="F46:G46"/>
    <mergeCell ref="H46:I46"/>
    <mergeCell ref="J46:K46"/>
    <mergeCell ref="B9:B17"/>
    <mergeCell ref="B18:B38"/>
    <mergeCell ref="C33:D33"/>
    <mergeCell ref="C34:D34"/>
    <mergeCell ref="C36:D36"/>
    <mergeCell ref="C37:D37"/>
    <mergeCell ref="K2:L2"/>
    <mergeCell ref="Q2:V2"/>
    <mergeCell ref="D2:J2"/>
    <mergeCell ref="B3:N3"/>
    <mergeCell ref="B5:B8"/>
  </mergeCells>
  <phoneticPr fontId="2"/>
  <pageMargins left="0.23622047244094491" right="0.23622047244094491" top="0.74803149606299213" bottom="0.74803149606299213" header="0.31496062992125984" footer="0.31496062992125984"/>
  <pageSetup paperSize="8"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9"/>
  <sheetViews>
    <sheetView topLeftCell="D4" zoomScale="86" zoomScaleNormal="86" workbookViewId="0">
      <selection activeCell="K17" sqref="K17"/>
    </sheetView>
  </sheetViews>
  <sheetFormatPr defaultRowHeight="18.75"/>
  <cols>
    <col min="1" max="1" width="3.75" customWidth="1"/>
    <col min="2" max="2" width="4.5" customWidth="1"/>
    <col min="3" max="3" width="7.375" customWidth="1"/>
    <col min="4" max="7" width="13.5" customWidth="1"/>
    <col min="8" max="9" width="13.625" customWidth="1"/>
    <col min="10" max="11" width="8.75" customWidth="1"/>
    <col min="12" max="12" width="11.75" customWidth="1"/>
    <col min="13" max="13" width="2.75" customWidth="1"/>
    <col min="14" max="14" width="2.375" customWidth="1"/>
    <col min="15" max="15" width="3.875" customWidth="1"/>
    <col min="16" max="16" width="7.375" customWidth="1"/>
    <col min="17" max="20" width="13.625" customWidth="1"/>
    <col min="21" max="22" width="11.875" customWidth="1"/>
    <col min="23" max="24" width="8.5" customWidth="1"/>
    <col min="25" max="25" width="11.5" customWidth="1"/>
    <col min="26" max="26" width="2.375" customWidth="1"/>
  </cols>
  <sheetData>
    <row r="1" spans="2:25" ht="19.149999999999999" customHeight="1" thickBot="1">
      <c r="B1" s="114"/>
      <c r="C1" s="115"/>
      <c r="D1" s="429" t="s">
        <v>76</v>
      </c>
      <c r="E1" s="429"/>
      <c r="F1" s="429"/>
      <c r="G1" s="429"/>
      <c r="H1" s="429"/>
      <c r="I1" s="429"/>
      <c r="J1" s="430">
        <f ca="1">TODAY()</f>
        <v>45779</v>
      </c>
      <c r="K1" s="430"/>
      <c r="L1" s="430"/>
      <c r="M1" s="293"/>
      <c r="N1" s="293"/>
      <c r="O1" s="114"/>
      <c r="P1" s="115"/>
      <c r="Q1" s="429" t="s">
        <v>108</v>
      </c>
      <c r="R1" s="429"/>
      <c r="S1" s="429"/>
      <c r="T1" s="429"/>
      <c r="U1" s="429"/>
      <c r="V1" s="429"/>
      <c r="W1" s="430">
        <f ca="1">TODAY()</f>
        <v>45779</v>
      </c>
      <c r="X1" s="430"/>
      <c r="Y1" s="430"/>
    </row>
    <row r="2" spans="2:25" ht="22.9" customHeight="1" thickBot="1">
      <c r="B2" s="236"/>
      <c r="C2" s="237"/>
      <c r="D2" s="423" t="s">
        <v>146</v>
      </c>
      <c r="E2" s="424"/>
      <c r="F2" s="423" t="s">
        <v>147</v>
      </c>
      <c r="G2" s="424"/>
      <c r="H2" s="426" t="s">
        <v>121</v>
      </c>
      <c r="I2" s="424"/>
      <c r="J2" s="423" t="s">
        <v>80</v>
      </c>
      <c r="K2" s="424"/>
      <c r="L2" s="427" t="s">
        <v>126</v>
      </c>
      <c r="M2" s="295"/>
      <c r="N2" s="292"/>
      <c r="O2" s="236"/>
      <c r="P2" s="237"/>
      <c r="Q2" s="423" t="s">
        <v>146</v>
      </c>
      <c r="R2" s="424"/>
      <c r="S2" s="423" t="s">
        <v>147</v>
      </c>
      <c r="T2" s="424"/>
      <c r="U2" s="426" t="s">
        <v>122</v>
      </c>
      <c r="V2" s="424"/>
      <c r="W2" s="423" t="s">
        <v>80</v>
      </c>
      <c r="X2" s="424"/>
      <c r="Y2" s="427" t="s">
        <v>126</v>
      </c>
    </row>
    <row r="3" spans="2:25" ht="12.6" customHeight="1">
      <c r="B3" s="238"/>
      <c r="C3" s="239" t="s">
        <v>82</v>
      </c>
      <c r="D3" s="240"/>
      <c r="E3" s="241" t="s">
        <v>84</v>
      </c>
      <c r="F3" s="242" t="s">
        <v>83</v>
      </c>
      <c r="G3" s="243" t="s">
        <v>84</v>
      </c>
      <c r="H3" s="240" t="s">
        <v>83</v>
      </c>
      <c r="I3" s="241" t="s">
        <v>84</v>
      </c>
      <c r="J3" s="244" t="s">
        <v>85</v>
      </c>
      <c r="K3" s="245" t="s">
        <v>86</v>
      </c>
      <c r="L3" s="428"/>
      <c r="M3" s="295"/>
      <c r="N3" s="292"/>
      <c r="O3" s="238"/>
      <c r="P3" s="239" t="s">
        <v>82</v>
      </c>
      <c r="Q3" s="240" t="s">
        <v>83</v>
      </c>
      <c r="R3" s="241" t="s">
        <v>84</v>
      </c>
      <c r="S3" s="242" t="s">
        <v>83</v>
      </c>
      <c r="T3" s="243" t="s">
        <v>84</v>
      </c>
      <c r="U3" s="240" t="s">
        <v>83</v>
      </c>
      <c r="V3" s="241" t="s">
        <v>84</v>
      </c>
      <c r="W3" s="244" t="s">
        <v>85</v>
      </c>
      <c r="X3" s="245" t="s">
        <v>86</v>
      </c>
      <c r="Y3" s="428"/>
    </row>
    <row r="4" spans="2:25" ht="12.6" customHeight="1">
      <c r="B4" s="246">
        <v>1</v>
      </c>
      <c r="C4" s="247" t="str">
        <f>IF(変換入力画面!D7="","",変換入力画面!D7)</f>
        <v>K136</v>
      </c>
      <c r="D4" s="248">
        <f>IF(変換入力画面!E7="","",変換入力画面!E7)</f>
        <v>40751.207999999999</v>
      </c>
      <c r="E4" s="249">
        <f>IF(変換入力画面!F7="","",変換入力画面!F7)</f>
        <v>-91907.42</v>
      </c>
      <c r="F4" s="248">
        <f>IF(変換入力画面!G7="","",変換入力画面!G7)</f>
        <v>40751.440999999999</v>
      </c>
      <c r="G4" s="249">
        <f>IF(変換入力画面!H7="","",変換入力画面!H7)</f>
        <v>-91907.573000000004</v>
      </c>
      <c r="H4" s="250">
        <f>IF(変換入力画面!D7="","",ヘルマート変換!H45)</f>
        <v>40751.495999999999</v>
      </c>
      <c r="I4" s="251">
        <f>IF(変換入力画面!D7="","",ヘルマート変換!I45)</f>
        <v>-91907.528999999995</v>
      </c>
      <c r="J4" s="248">
        <f>IF(F4="","",F4-H4)</f>
        <v>-5.5000000000291038E-2</v>
      </c>
      <c r="K4" s="249">
        <f>IF(G4="","",G4-I4)</f>
        <v>-4.400000000896398E-2</v>
      </c>
      <c r="L4" s="301">
        <f>IF(F4="","",SQRT(((J4^2+K4^2))))</f>
        <v>7.0434366617588354E-2</v>
      </c>
      <c r="M4" s="296"/>
      <c r="N4" s="298"/>
      <c r="O4" s="246">
        <v>1</v>
      </c>
      <c r="P4" s="247" t="str">
        <f>IF(変換入力画面!D7="","",変換入力画面!D7)</f>
        <v>K136</v>
      </c>
      <c r="Q4" s="248">
        <f>IF(変換入力画面!E7="","",変換入力画面!E7)</f>
        <v>40751.207999999999</v>
      </c>
      <c r="R4" s="249">
        <f>IF(変換入力画面!F7="","",変換入力画面!F7)</f>
        <v>-91907.42</v>
      </c>
      <c r="S4" s="248">
        <f>IF(変換入力画面!G7="","",変換入力画面!G7)</f>
        <v>40751.440999999999</v>
      </c>
      <c r="T4" s="249">
        <f>IF(変換入力画面!H7="","",変換入力画面!H7)</f>
        <v>-91907.573000000004</v>
      </c>
      <c r="U4" s="250">
        <f>IF(S4="","",アフィン変換!H48)</f>
        <v>40751.4</v>
      </c>
      <c r="V4" s="251">
        <f>IF(S4="","",アフィン変換!I48)</f>
        <v>-91907.519</v>
      </c>
      <c r="W4" s="248">
        <f t="shared" ref="W4:W9" si="0">IF(Q4="","",S4-U4)</f>
        <v>4.0999999997438863E-2</v>
      </c>
      <c r="X4" s="249">
        <f t="shared" ref="X4:X9" si="1">IF(Q4="","",T4-V4)</f>
        <v>-5.400000000372529E-2</v>
      </c>
      <c r="Y4" s="301">
        <f>IF(Q4="","",SQRT((W4^2+X4^2)))</f>
        <v>6.7801179932153968E-2</v>
      </c>
    </row>
    <row r="5" spans="2:25" ht="12.6" customHeight="1">
      <c r="B5" s="252">
        <v>2</v>
      </c>
      <c r="C5" s="247" t="str">
        <f>IF(変換入力画面!D8="","",変換入力画面!D8)</f>
        <v>K61</v>
      </c>
      <c r="D5" s="253">
        <f>IF(変換入力画面!E8="","",変換入力画面!E8)</f>
        <v>40763.1</v>
      </c>
      <c r="E5" s="254">
        <f>IF(変換入力画面!F8="","",変換入力画面!F8)</f>
        <v>-91896.176999999996</v>
      </c>
      <c r="F5" s="253">
        <f>IF(変換入力画面!G8="","",変換入力画面!G8)</f>
        <v>40763.387000000002</v>
      </c>
      <c r="G5" s="254">
        <f>IF(変換入力画面!H8="","",変換入力画面!H8)</f>
        <v>-91896.063999999998</v>
      </c>
      <c r="H5" s="255">
        <f>IF(変換入力画面!D8="","",ヘルマート変換!H46)</f>
        <v>40763.402000000002</v>
      </c>
      <c r="I5" s="256">
        <f>IF(変換入力画面!D8="","",ヘルマート変換!I46)</f>
        <v>-91896.22</v>
      </c>
      <c r="J5" s="253">
        <f t="shared" ref="J5:J9" si="2">IF(F5="","",F5-H5)</f>
        <v>-1.4999999999417923E-2</v>
      </c>
      <c r="K5" s="254">
        <f t="shared" ref="K5:K9" si="3">IF(G5="","",G5-I5)</f>
        <v>0.15600000000267755</v>
      </c>
      <c r="L5" s="302">
        <f t="shared" ref="L5:L9" si="4">IF(F5="","",SQRT(((J5^2+K5^2))))</f>
        <v>0.15671949464191726</v>
      </c>
      <c r="M5" s="296"/>
      <c r="N5" s="298"/>
      <c r="O5" s="252">
        <v>2</v>
      </c>
      <c r="P5" s="247" t="str">
        <f>IF(変換入力画面!D8="","",変換入力画面!D8)</f>
        <v>K61</v>
      </c>
      <c r="Q5" s="253">
        <f>IF(変換入力画面!E8="","",変換入力画面!E8)</f>
        <v>40763.1</v>
      </c>
      <c r="R5" s="254">
        <f>IF(変換入力画面!F8="","",変換入力画面!F8)</f>
        <v>-91896.176999999996</v>
      </c>
      <c r="S5" s="253">
        <f>IF(変換入力画面!G8="","",変換入力画面!G8)</f>
        <v>40763.387000000002</v>
      </c>
      <c r="T5" s="254">
        <f>IF(変換入力画面!H8="","",変換入力画面!H8)</f>
        <v>-91896.063999999998</v>
      </c>
      <c r="U5" s="255">
        <f>IF(S5="","",アフィン変換!H49)</f>
        <v>40763.434999999998</v>
      </c>
      <c r="V5" s="256">
        <f>IF(S5="","",アフィン変換!I49)</f>
        <v>-91896.115999999995</v>
      </c>
      <c r="W5" s="253">
        <f t="shared" si="0"/>
        <v>-4.7999999995226972E-2</v>
      </c>
      <c r="X5" s="254">
        <f t="shared" si="1"/>
        <v>5.1999999996041879E-2</v>
      </c>
      <c r="Y5" s="302">
        <f t="shared" ref="Y5:Y9" si="5">IF(Q5="","",SQRT((W5^2+X5^2)))</f>
        <v>7.0767224045670638E-2</v>
      </c>
    </row>
    <row r="6" spans="2:25" ht="12.6" customHeight="1">
      <c r="B6" s="252">
        <v>3</v>
      </c>
      <c r="C6" s="247" t="str">
        <f>IF(変換入力画面!D9="","",変換入力画面!D9)</f>
        <v>K68</v>
      </c>
      <c r="D6" s="253">
        <f>IF(変換入力画面!E9="","",変換入力画面!E9)</f>
        <v>40746.485999999997</v>
      </c>
      <c r="E6" s="254">
        <f>IF(変換入力画面!F9="","",変換入力画面!F9)</f>
        <v>-91883.832999999999</v>
      </c>
      <c r="F6" s="253">
        <f>IF(変換入力画面!G9="","",変換入力画面!G9)</f>
        <v>40746.894</v>
      </c>
      <c r="G6" s="254">
        <f>IF(変換入力画面!H9="","",変換入力画面!H9)</f>
        <v>-91883.892000000007</v>
      </c>
      <c r="H6" s="255">
        <f>IF(変換入力画面!D9="","",ヘルマート変換!H47)</f>
        <v>40746.701999999997</v>
      </c>
      <c r="I6" s="256">
        <f>IF(変換入力画面!D9="","",ヘルマート変換!I47)</f>
        <v>-91883.873000000007</v>
      </c>
      <c r="J6" s="253">
        <f t="shared" si="2"/>
        <v>0.19200000000273576</v>
      </c>
      <c r="K6" s="254">
        <f t="shared" si="3"/>
        <v>-1.9000000000232831E-2</v>
      </c>
      <c r="L6" s="302">
        <f t="shared" si="4"/>
        <v>0.19293781381849276</v>
      </c>
      <c r="M6" s="296"/>
      <c r="N6" s="298"/>
      <c r="O6" s="252">
        <v>3</v>
      </c>
      <c r="P6" s="247" t="str">
        <f>IF(変換入力画面!D9="","",変換入力画面!D9)</f>
        <v>K68</v>
      </c>
      <c r="Q6" s="253">
        <f>IF(変換入力画面!E9="","",変換入力画面!E9)</f>
        <v>40746.485999999997</v>
      </c>
      <c r="R6" s="254">
        <f>IF(変換入力画面!F9="","",変換入力画面!F9)</f>
        <v>-91883.832999999999</v>
      </c>
      <c r="S6" s="253">
        <f>IF(変換入力画面!G9="","",変換入力画面!G9)</f>
        <v>40746.894</v>
      </c>
      <c r="T6" s="254">
        <f>IF(変換入力画面!H9="","",変換入力画面!H9)</f>
        <v>-91883.892000000007</v>
      </c>
      <c r="U6" s="255">
        <f>IF(S6="","",アフィン変換!H50)</f>
        <v>40746.767999999996</v>
      </c>
      <c r="V6" s="256">
        <f>IF(S6="","",アフィン変換!I50)</f>
        <v>-91883.861999999994</v>
      </c>
      <c r="W6" s="253">
        <f t="shared" si="0"/>
        <v>0.12600000000384171</v>
      </c>
      <c r="X6" s="254">
        <f t="shared" si="1"/>
        <v>-3.0000000013387762E-2</v>
      </c>
      <c r="Y6" s="302">
        <f t="shared" si="5"/>
        <v>0.12952219887637553</v>
      </c>
    </row>
    <row r="7" spans="2:25" ht="12.6" customHeight="1">
      <c r="B7" s="252">
        <v>4</v>
      </c>
      <c r="C7" s="247" t="str">
        <f>IF(変換入力画面!D10="","",変換入力画面!D10)</f>
        <v>K62</v>
      </c>
      <c r="D7" s="253">
        <f>IF(変換入力画面!E10="","",変換入力画面!E10)</f>
        <v>40743.476999999999</v>
      </c>
      <c r="E7" s="254">
        <f>IF(変換入力画面!F10="","",変換入力画面!F10)</f>
        <v>-91881.240999999995</v>
      </c>
      <c r="F7" s="253">
        <f>IF(変換入力画面!G10="","",変換入力画面!G10)</f>
        <v>40743.688000000002</v>
      </c>
      <c r="G7" s="254">
        <f>IF(変換入力画面!H10="","",変換入力画面!H10)</f>
        <v>-91881.32</v>
      </c>
      <c r="H7" s="255">
        <f>IF(変換入力画面!D10="","",ヘルマート変換!H48)</f>
        <v>40743.677000000003</v>
      </c>
      <c r="I7" s="256">
        <f>IF(変換入力画面!D10="","",ヘルマート変換!I48)</f>
        <v>-91881.278999999995</v>
      </c>
      <c r="J7" s="253">
        <f t="shared" si="2"/>
        <v>1.0999999998603016E-2</v>
      </c>
      <c r="K7" s="254">
        <f t="shared" si="3"/>
        <v>-4.1000000011990778E-2</v>
      </c>
      <c r="L7" s="302">
        <f t="shared" si="4"/>
        <v>4.2449970564801459E-2</v>
      </c>
      <c r="M7" s="296"/>
      <c r="N7" s="298"/>
      <c r="O7" s="252">
        <v>4</v>
      </c>
      <c r="P7" s="247" t="str">
        <f>IF(変換入力画面!D10="","",変換入力画面!D10)</f>
        <v>K62</v>
      </c>
      <c r="Q7" s="253">
        <f>IF(変換入力画面!E10="","",変換入力画面!E10)</f>
        <v>40743.476999999999</v>
      </c>
      <c r="R7" s="254">
        <f>IF(変換入力画面!F10="","",変換入力画面!F10)</f>
        <v>-91881.240999999995</v>
      </c>
      <c r="S7" s="253">
        <f>IF(変換入力画面!G10="","",変換入力画面!G10)</f>
        <v>40743.688000000002</v>
      </c>
      <c r="T7" s="254">
        <f>IF(変換入力画面!H10="","",変換入力画面!H10)</f>
        <v>-91881.32</v>
      </c>
      <c r="U7" s="255">
        <f>IF(S7="","",アフィン変換!H51)</f>
        <v>40743.750999999997</v>
      </c>
      <c r="V7" s="256">
        <f>IF(S7="","",アフィン変換!I51)</f>
        <v>-91881.285000000003</v>
      </c>
      <c r="W7" s="253">
        <f t="shared" si="0"/>
        <v>-6.2999999994644895E-2</v>
      </c>
      <c r="X7" s="254">
        <f t="shared" si="1"/>
        <v>-3.500000000349246E-2</v>
      </c>
      <c r="Y7" s="302">
        <f t="shared" si="5"/>
        <v>7.2069410983923887E-2</v>
      </c>
    </row>
    <row r="8" spans="2:25" ht="12.6" customHeight="1">
      <c r="B8" s="252">
        <v>5</v>
      </c>
      <c r="C8" s="247" t="str">
        <f>IF(変換入力画面!D11="","",変換入力画面!D11)</f>
        <v>K101</v>
      </c>
      <c r="D8" s="253">
        <f>IF(変換入力画面!E11="","",変換入力画面!E11)</f>
        <v>40734.370999999999</v>
      </c>
      <c r="E8" s="254">
        <f>IF(変換入力画面!F11="","",変換入力画面!F11)</f>
        <v>-91890.438999999998</v>
      </c>
      <c r="F8" s="253">
        <f>IF(変換入力画面!G11="","",変換入力画面!G11)</f>
        <v>40734.506000000001</v>
      </c>
      <c r="G8" s="254">
        <f>IF(変換入力画面!H11="","",変換入力画面!H11)</f>
        <v>-91890.554000000004</v>
      </c>
      <c r="H8" s="255">
        <f>IF(変換入力画面!D11="","",ヘルマート変換!H49)</f>
        <v>40734.561999999998</v>
      </c>
      <c r="I8" s="256">
        <f>IF(変換入力画面!D11="","",ヘルマート変換!I49)</f>
        <v>-91890.53</v>
      </c>
      <c r="J8" s="253">
        <f t="shared" si="2"/>
        <v>-5.5999999996856786E-2</v>
      </c>
      <c r="K8" s="254">
        <f t="shared" si="3"/>
        <v>-2.4000000004889444E-2</v>
      </c>
      <c r="L8" s="302">
        <f t="shared" si="4"/>
        <v>6.0926184845948236E-2</v>
      </c>
      <c r="M8" s="296"/>
      <c r="N8" s="298"/>
      <c r="O8" s="252">
        <v>5</v>
      </c>
      <c r="P8" s="247" t="str">
        <f>IF(変換入力画面!D11="","",変換入力画面!D11)</f>
        <v>K101</v>
      </c>
      <c r="Q8" s="253">
        <f>IF(変換入力画面!E11="","",変換入力画面!E11)</f>
        <v>40734.370999999999</v>
      </c>
      <c r="R8" s="254">
        <f>IF(変換入力画面!F11="","",変換入力画面!F11)</f>
        <v>-91890.438999999998</v>
      </c>
      <c r="S8" s="253">
        <f>IF(変換入力画面!G11="","",変換入力画面!G11)</f>
        <v>40734.506000000001</v>
      </c>
      <c r="T8" s="254">
        <f>IF(変換入力画面!H11="","",変換入力画面!H11)</f>
        <v>-91890.554000000004</v>
      </c>
      <c r="U8" s="255">
        <f>IF(S8="","",アフィン変換!H52)</f>
        <v>40734.533000000003</v>
      </c>
      <c r="V8" s="256">
        <f>IF(S8="","",アフィン変換!I52)</f>
        <v>-91890.607999999993</v>
      </c>
      <c r="W8" s="253">
        <f t="shared" si="0"/>
        <v>-2.7000000001862645E-2</v>
      </c>
      <c r="X8" s="254">
        <f t="shared" si="1"/>
        <v>5.3999999989173375E-2</v>
      </c>
      <c r="Y8" s="302">
        <f t="shared" si="5"/>
        <v>6.0373835383643694E-2</v>
      </c>
    </row>
    <row r="9" spans="2:25" ht="12.6" customHeight="1">
      <c r="B9" s="257">
        <v>6</v>
      </c>
      <c r="C9" s="247" t="str">
        <f>IF(変換入力画面!D12="","",変換入力画面!D12)</f>
        <v>K112</v>
      </c>
      <c r="D9" s="258">
        <f>IF(変換入力画面!E12="","",変換入力画面!E12)</f>
        <v>40741.838000000003</v>
      </c>
      <c r="E9" s="259">
        <f>IF(変換入力画面!F12="","",変換入力画面!F12)</f>
        <v>-91897.357999999993</v>
      </c>
      <c r="F9" s="258">
        <f>IF(変換入力画面!G12="","",変換入力画面!G12)</f>
        <v>40741.995000000003</v>
      </c>
      <c r="G9" s="259">
        <f>IF(変換入力画面!H12="","",変換入力画面!H12)</f>
        <v>-91897.479000000007</v>
      </c>
      <c r="H9" s="260">
        <f>IF(変換入力画面!D12="","",ヘルマート変換!H50)</f>
        <v>40742.07</v>
      </c>
      <c r="I9" s="261">
        <f>IF(変換入力画面!D12="","",ヘルマート変換!I50)</f>
        <v>-91897.455000000002</v>
      </c>
      <c r="J9" s="258">
        <f t="shared" si="2"/>
        <v>-7.4999999997089617E-2</v>
      </c>
      <c r="K9" s="259">
        <f t="shared" si="3"/>
        <v>-2.4000000004889444E-2</v>
      </c>
      <c r="L9" s="303">
        <f t="shared" si="4"/>
        <v>7.8746428489158388E-2</v>
      </c>
      <c r="M9" s="296"/>
      <c r="N9" s="298"/>
      <c r="O9" s="257">
        <v>6</v>
      </c>
      <c r="P9" s="247" t="str">
        <f>IF(変換入力画面!D12="","",変換入力画面!D12)</f>
        <v>K112</v>
      </c>
      <c r="Q9" s="258">
        <f>IF(変換入力画面!E12="","",変換入力画面!E12)</f>
        <v>40741.838000000003</v>
      </c>
      <c r="R9" s="259">
        <f>IF(変換入力画面!F12="","",変換入力画面!F12)</f>
        <v>-91897.357999999993</v>
      </c>
      <c r="S9" s="258">
        <f>IF(変換入力画面!G12="","",変換入力画面!G12)</f>
        <v>40741.995000000003</v>
      </c>
      <c r="T9" s="259">
        <f>IF(変換入力画面!H12="","",変換入力画面!H12)</f>
        <v>-91897.479000000007</v>
      </c>
      <c r="U9" s="260">
        <f>IF(S9="","",アフィン変換!H53)</f>
        <v>40742.017</v>
      </c>
      <c r="V9" s="261">
        <f>IF(S9="","",アフィン変換!I53)</f>
        <v>-91897.493000000002</v>
      </c>
      <c r="W9" s="287">
        <f t="shared" si="0"/>
        <v>-2.1999999997206032E-2</v>
      </c>
      <c r="X9" s="288">
        <f t="shared" si="1"/>
        <v>1.3999999995576218E-2</v>
      </c>
      <c r="Y9" s="303">
        <f t="shared" si="5"/>
        <v>2.6076809616078413E-2</v>
      </c>
    </row>
    <row r="10" spans="2:25" ht="12.6" customHeight="1">
      <c r="B10" s="262"/>
      <c r="C10" s="263" t="s">
        <v>82</v>
      </c>
      <c r="D10" s="264" t="s">
        <v>83</v>
      </c>
      <c r="E10" s="265" t="s">
        <v>84</v>
      </c>
      <c r="F10" s="266" t="s">
        <v>83</v>
      </c>
      <c r="G10" s="267" t="s">
        <v>84</v>
      </c>
      <c r="H10" s="266" t="s">
        <v>87</v>
      </c>
      <c r="I10" s="265" t="s">
        <v>88</v>
      </c>
      <c r="J10" s="270" t="s">
        <v>85</v>
      </c>
      <c r="K10" s="271" t="s">
        <v>86</v>
      </c>
      <c r="L10" s="272" t="s">
        <v>126</v>
      </c>
      <c r="M10" s="297"/>
      <c r="N10" s="299"/>
      <c r="O10" s="262"/>
      <c r="P10" s="263" t="s">
        <v>82</v>
      </c>
      <c r="Q10" s="264" t="s">
        <v>83</v>
      </c>
      <c r="R10" s="265" t="s">
        <v>84</v>
      </c>
      <c r="S10" s="266" t="s">
        <v>83</v>
      </c>
      <c r="T10" s="267" t="s">
        <v>84</v>
      </c>
      <c r="U10" s="268" t="s">
        <v>87</v>
      </c>
      <c r="V10" s="269" t="s">
        <v>88</v>
      </c>
      <c r="W10" s="270" t="s">
        <v>85</v>
      </c>
      <c r="X10" s="271" t="s">
        <v>86</v>
      </c>
      <c r="Y10" s="294" t="s">
        <v>126</v>
      </c>
    </row>
    <row r="11" spans="2:25" ht="12.6" customHeight="1">
      <c r="B11" s="273">
        <v>1</v>
      </c>
      <c r="C11" s="247" t="str">
        <f>IF(変換入力画面!D16="","",変換入力画面!D16)</f>
        <v>4-408</v>
      </c>
      <c r="D11" s="274">
        <f>IF(変換入力画面!E16="","",変換入力画面!E16)</f>
        <v>40770.720000000001</v>
      </c>
      <c r="E11" s="275">
        <f>IF(変換入力画面!F16="","",変換入力画面!F16)</f>
        <v>-91899.679000000004</v>
      </c>
      <c r="F11" s="250" t="str">
        <f>IF(変換入力画面!G16="","",変換入力画面!G16)</f>
        <v/>
      </c>
      <c r="G11" s="251" t="str">
        <f>IF(変換入力画面!H16="","",変換入力画面!H16)</f>
        <v/>
      </c>
      <c r="H11" s="250">
        <f>IF(変換入力画面!D16="","",ヘルマート変換!H52)</f>
        <v>40771.055999999997</v>
      </c>
      <c r="I11" s="251">
        <f>IF(変換入力画面!D16="","",ヘルマート変換!I52)</f>
        <v>-91899.716</v>
      </c>
      <c r="J11" s="248" t="str">
        <f>IF(F11="","",F11-H11)</f>
        <v/>
      </c>
      <c r="K11" s="276" t="str">
        <f>IF(G11="","",G11-I11)</f>
        <v/>
      </c>
      <c r="L11" s="301" t="str">
        <f>IF(F11="","",SQRT((J11^2+K11^2)))</f>
        <v/>
      </c>
      <c r="M11" s="296"/>
      <c r="N11" s="298"/>
      <c r="O11" s="273">
        <v>1</v>
      </c>
      <c r="P11" s="247" t="str">
        <f>IF(変換入力画面!D16="","",変換入力画面!D16)</f>
        <v>4-408</v>
      </c>
      <c r="Q11" s="250">
        <f>IF(変換入力画面!E16="","",変換入力画面!E16)</f>
        <v>40770.720000000001</v>
      </c>
      <c r="R11" s="289">
        <f>IF(変換入力画面!F16="","",変換入力画面!F16)</f>
        <v>-91899.679000000004</v>
      </c>
      <c r="S11" s="250" t="str">
        <f>IF(変換入力画面!G16="","",変換入力画面!G16)</f>
        <v/>
      </c>
      <c r="T11" s="251" t="str">
        <f>IF(変換入力画面!H16="","",変換入力画面!H16)</f>
        <v/>
      </c>
      <c r="U11" s="250">
        <f>IF(変換入力画面!D16="","",アフィン変換!H55)</f>
        <v>40771.091</v>
      </c>
      <c r="V11" s="251">
        <f>IF(変換入力画面!D16="","",アフィン変換!I55)</f>
        <v>-91899.566999999995</v>
      </c>
      <c r="W11" s="248" t="str">
        <f>IF(S11="","",S11-U11)</f>
        <v/>
      </c>
      <c r="X11" s="276" t="str">
        <f>IF(T11="","",T11-V11)</f>
        <v/>
      </c>
      <c r="Y11" s="301" t="str">
        <f>IF(S11="","",SQRT((W11^2+X11^2)))</f>
        <v/>
      </c>
    </row>
    <row r="12" spans="2:25" ht="12.6" customHeight="1">
      <c r="B12" s="252">
        <v>2</v>
      </c>
      <c r="C12" s="247" t="str">
        <f>IF(変換入力画面!D17="","",変換入力画面!D17)</f>
        <v>4-409</v>
      </c>
      <c r="D12" s="274">
        <f>IF(変換入力画面!E17="","",変換入力画面!E17)</f>
        <v>40751.707999999999</v>
      </c>
      <c r="E12" s="275">
        <f>IF(変換入力画面!F17="","",変換入力画面!F17)</f>
        <v>-91890.183999999994</v>
      </c>
      <c r="F12" s="255" t="str">
        <f>IF(変換入力画面!G17="","",変換入力画面!G17)</f>
        <v/>
      </c>
      <c r="G12" s="256" t="str">
        <f>IF(変換入力画面!H17="","",変換入力画面!H17)</f>
        <v/>
      </c>
      <c r="H12" s="255">
        <f>IF(変換入力画面!D17="","",ヘルマート変換!H53)</f>
        <v>40751.957000000002</v>
      </c>
      <c r="I12" s="256">
        <f>IF(変換入力画面!D17="","",ヘルマート変換!I53)</f>
        <v>-91890.232999999993</v>
      </c>
      <c r="J12" s="253" t="str">
        <f t="shared" ref="J12:K32" si="6">IF(F12="","",F12-H12)</f>
        <v/>
      </c>
      <c r="K12" s="277" t="str">
        <f t="shared" si="6"/>
        <v/>
      </c>
      <c r="L12" s="302" t="str">
        <f t="shared" ref="L12:L34" si="7">IF(F12="","",SQRT((J12^2+K12^2)))</f>
        <v/>
      </c>
      <c r="M12" s="296"/>
      <c r="N12" s="298"/>
      <c r="O12" s="252">
        <v>2</v>
      </c>
      <c r="P12" s="247" t="str">
        <f>IF(変換入力画面!D17="","",変換入力画面!D17)</f>
        <v>4-409</v>
      </c>
      <c r="Q12" s="255">
        <f>IF(変換入力画面!E17="","",変換入力画面!E17)</f>
        <v>40751.707999999999</v>
      </c>
      <c r="R12" s="290">
        <f>IF(変換入力画面!F17="","",変換入力画面!F17)</f>
        <v>-91890.183999999994</v>
      </c>
      <c r="S12" s="255" t="str">
        <f>IF(変換入力画面!G17="","",変換入力画面!G17)</f>
        <v/>
      </c>
      <c r="T12" s="256" t="str">
        <f>IF(変換入力画面!H17="","",変換入力画面!H17)</f>
        <v/>
      </c>
      <c r="U12" s="255">
        <f>IF(変換入力画面!D17="","",アフィン変換!H56)</f>
        <v>40751.993999999999</v>
      </c>
      <c r="V12" s="256">
        <f>IF(変換入力画面!D17="","",アフィン変換!I56)</f>
        <v>-91890.195999999996</v>
      </c>
      <c r="W12" s="253" t="str">
        <f t="shared" ref="W12:X32" si="8">IF(S12="","",S12-U12)</f>
        <v/>
      </c>
      <c r="X12" s="277" t="str">
        <f t="shared" si="8"/>
        <v/>
      </c>
      <c r="Y12" s="302" t="str">
        <f t="shared" ref="Y12:Y34" si="9">IF(S12="","",SQRT((W12^2+X12^2)))</f>
        <v/>
      </c>
    </row>
    <row r="13" spans="2:25" ht="12.6" customHeight="1">
      <c r="B13" s="252">
        <v>3</v>
      </c>
      <c r="C13" s="247" t="str">
        <f>IF(変換入力画面!D18="","",変換入力画面!D18)</f>
        <v/>
      </c>
      <c r="D13" s="274" t="str">
        <f>IF(変換入力画面!E18="","",変換入力画面!E18)</f>
        <v/>
      </c>
      <c r="E13" s="275" t="str">
        <f>IF(変換入力画面!F18="","",変換入力画面!F18)</f>
        <v/>
      </c>
      <c r="F13" s="255" t="str">
        <f>IF(変換入力画面!G18="","",変換入力画面!G18)</f>
        <v/>
      </c>
      <c r="G13" s="256" t="str">
        <f>IF(変換入力画面!H18="","",変換入力画面!H18)</f>
        <v/>
      </c>
      <c r="H13" s="255" t="str">
        <f>IF(変換入力画面!D18="","",ヘルマート変換!H54)</f>
        <v/>
      </c>
      <c r="I13" s="256" t="str">
        <f>IF(変換入力画面!D18="","",ヘルマート変換!I54)</f>
        <v/>
      </c>
      <c r="J13" s="253" t="str">
        <f t="shared" si="6"/>
        <v/>
      </c>
      <c r="K13" s="277" t="str">
        <f t="shared" si="6"/>
        <v/>
      </c>
      <c r="L13" s="302" t="str">
        <f t="shared" si="7"/>
        <v/>
      </c>
      <c r="M13" s="296"/>
      <c r="N13" s="298"/>
      <c r="O13" s="252">
        <v>3</v>
      </c>
      <c r="P13" s="247" t="str">
        <f>IF(変換入力画面!D18="","",変換入力画面!D18)</f>
        <v/>
      </c>
      <c r="Q13" s="255" t="str">
        <f>IF(変換入力画面!E18="","",変換入力画面!E18)</f>
        <v/>
      </c>
      <c r="R13" s="290" t="str">
        <f>IF(変換入力画面!F18="","",変換入力画面!F18)</f>
        <v/>
      </c>
      <c r="S13" s="255" t="str">
        <f>IF(変換入力画面!G18="","",変換入力画面!G18)</f>
        <v/>
      </c>
      <c r="T13" s="256" t="str">
        <f>IF(変換入力画面!H18="","",変換入力画面!H18)</f>
        <v/>
      </c>
      <c r="U13" s="255" t="str">
        <f>IF(変換入力画面!D18="","",アフィン変換!H57)</f>
        <v/>
      </c>
      <c r="V13" s="256" t="str">
        <f>IF(変換入力画面!D18="","",アフィン変換!I57)</f>
        <v/>
      </c>
      <c r="W13" s="253" t="str">
        <f t="shared" si="8"/>
        <v/>
      </c>
      <c r="X13" s="277" t="str">
        <f t="shared" si="8"/>
        <v/>
      </c>
      <c r="Y13" s="302" t="str">
        <f>IF(S13="","",SQRT((W13^2+X13^2)))</f>
        <v/>
      </c>
    </row>
    <row r="14" spans="2:25" ht="12.6" customHeight="1">
      <c r="B14" s="252">
        <v>4</v>
      </c>
      <c r="C14" s="247" t="str">
        <f>IF(変換入力画面!D19="","",変換入力画面!D19)</f>
        <v/>
      </c>
      <c r="D14" s="274" t="str">
        <f>IF(変換入力画面!E19="","",変換入力画面!E19)</f>
        <v/>
      </c>
      <c r="E14" s="275" t="str">
        <f>IF(変換入力画面!F19="","",変換入力画面!F19)</f>
        <v/>
      </c>
      <c r="F14" s="255" t="str">
        <f>IF(変換入力画面!G19="","",変換入力画面!G19)</f>
        <v/>
      </c>
      <c r="G14" s="256" t="str">
        <f>IF(変換入力画面!H19="","",変換入力画面!H19)</f>
        <v/>
      </c>
      <c r="H14" s="255" t="str">
        <f>IF(変換入力画面!D19="","",ヘルマート変換!H55)</f>
        <v/>
      </c>
      <c r="I14" s="256" t="str">
        <f>IF(変換入力画面!D19="","",ヘルマート変換!I55)</f>
        <v/>
      </c>
      <c r="J14" s="253" t="str">
        <f t="shared" si="6"/>
        <v/>
      </c>
      <c r="K14" s="277" t="str">
        <f t="shared" si="6"/>
        <v/>
      </c>
      <c r="L14" s="302" t="str">
        <f t="shared" si="7"/>
        <v/>
      </c>
      <c r="M14" s="296"/>
      <c r="N14" s="298"/>
      <c r="O14" s="252">
        <v>4</v>
      </c>
      <c r="P14" s="247" t="str">
        <f>IF(変換入力画面!D19="","",変換入力画面!D19)</f>
        <v/>
      </c>
      <c r="Q14" s="255" t="str">
        <f>IF(変換入力画面!E19="","",変換入力画面!E19)</f>
        <v/>
      </c>
      <c r="R14" s="290" t="str">
        <f>IF(変換入力画面!F19="","",変換入力画面!F19)</f>
        <v/>
      </c>
      <c r="S14" s="255" t="str">
        <f>IF(変換入力画面!G19="","",変換入力画面!G19)</f>
        <v/>
      </c>
      <c r="T14" s="256" t="str">
        <f>IF(変換入力画面!H19="","",変換入力画面!H19)</f>
        <v/>
      </c>
      <c r="U14" s="255" t="str">
        <f>IF(変換入力画面!D19="","",アフィン変換!H58)</f>
        <v/>
      </c>
      <c r="V14" s="256" t="str">
        <f>IF(変換入力画面!D19="","",アフィン変換!I58)</f>
        <v/>
      </c>
      <c r="W14" s="253" t="str">
        <f t="shared" si="8"/>
        <v/>
      </c>
      <c r="X14" s="277" t="str">
        <f t="shared" si="8"/>
        <v/>
      </c>
      <c r="Y14" s="302" t="str">
        <f t="shared" si="9"/>
        <v/>
      </c>
    </row>
    <row r="15" spans="2:25" ht="12.6" customHeight="1">
      <c r="B15" s="252">
        <v>5</v>
      </c>
      <c r="C15" s="247" t="str">
        <f>IF(変換入力画面!D20="","",変換入力画面!D20)</f>
        <v/>
      </c>
      <c r="D15" s="274" t="str">
        <f>IF(変換入力画面!E20="","",変換入力画面!E20)</f>
        <v/>
      </c>
      <c r="E15" s="275" t="str">
        <f>IF(変換入力画面!F20="","",変換入力画面!F20)</f>
        <v/>
      </c>
      <c r="F15" s="255" t="str">
        <f>IF(変換入力画面!G20="","",変換入力画面!G20)</f>
        <v/>
      </c>
      <c r="G15" s="256" t="str">
        <f>IF(変換入力画面!H20="","",変換入力画面!H20)</f>
        <v/>
      </c>
      <c r="H15" s="255" t="str">
        <f>IF(変換入力画面!D20="","",ヘルマート変換!H56)</f>
        <v/>
      </c>
      <c r="I15" s="256" t="str">
        <f>IF(変換入力画面!D20="","",ヘルマート変換!I56)</f>
        <v/>
      </c>
      <c r="J15" s="253" t="str">
        <f t="shared" si="6"/>
        <v/>
      </c>
      <c r="K15" s="277" t="str">
        <f t="shared" si="6"/>
        <v/>
      </c>
      <c r="L15" s="302" t="str">
        <f t="shared" si="7"/>
        <v/>
      </c>
      <c r="M15" s="296"/>
      <c r="N15" s="298"/>
      <c r="O15" s="252">
        <v>5</v>
      </c>
      <c r="P15" s="247" t="str">
        <f>IF(変換入力画面!D20="","",変換入力画面!D20)</f>
        <v/>
      </c>
      <c r="Q15" s="255" t="str">
        <f>IF(変換入力画面!E20="","",変換入力画面!E20)</f>
        <v/>
      </c>
      <c r="R15" s="290" t="str">
        <f>IF(変換入力画面!F20="","",変換入力画面!F20)</f>
        <v/>
      </c>
      <c r="S15" s="255" t="str">
        <f>IF(変換入力画面!G20="","",変換入力画面!G20)</f>
        <v/>
      </c>
      <c r="T15" s="256" t="str">
        <f>IF(変換入力画面!H20="","",変換入力画面!H20)</f>
        <v/>
      </c>
      <c r="U15" s="255" t="str">
        <f>IF(変換入力画面!D20="","",アフィン変換!H59)</f>
        <v/>
      </c>
      <c r="V15" s="256" t="str">
        <f>IF(変換入力画面!D20="","",アフィン変換!I59)</f>
        <v/>
      </c>
      <c r="W15" s="253" t="str">
        <f t="shared" si="8"/>
        <v/>
      </c>
      <c r="X15" s="277" t="str">
        <f t="shared" si="8"/>
        <v/>
      </c>
      <c r="Y15" s="302" t="str">
        <f t="shared" si="9"/>
        <v/>
      </c>
    </row>
    <row r="16" spans="2:25" ht="12.6" customHeight="1">
      <c r="B16" s="252">
        <v>6</v>
      </c>
      <c r="C16" s="247" t="str">
        <f>IF(変換入力画面!D21="","",変換入力画面!D21)</f>
        <v/>
      </c>
      <c r="D16" s="274" t="str">
        <f>IF(変換入力画面!E21="","",変換入力画面!E21)</f>
        <v/>
      </c>
      <c r="E16" s="275" t="str">
        <f>IF(変換入力画面!F21="","",変換入力画面!F21)</f>
        <v/>
      </c>
      <c r="F16" s="255" t="str">
        <f>IF(変換入力画面!G21="","",変換入力画面!G21)</f>
        <v/>
      </c>
      <c r="G16" s="256" t="str">
        <f>IF(変換入力画面!H21="","",変換入力画面!H21)</f>
        <v/>
      </c>
      <c r="H16" s="255" t="str">
        <f>IF(変換入力画面!D21="","",ヘルマート変換!H57)</f>
        <v/>
      </c>
      <c r="I16" s="256" t="str">
        <f>IF(変換入力画面!D21="","",ヘルマート変換!I57)</f>
        <v/>
      </c>
      <c r="J16" s="253" t="str">
        <f t="shared" si="6"/>
        <v/>
      </c>
      <c r="K16" s="277" t="str">
        <f t="shared" si="6"/>
        <v/>
      </c>
      <c r="L16" s="302" t="str">
        <f t="shared" si="7"/>
        <v/>
      </c>
      <c r="M16" s="296"/>
      <c r="N16" s="298"/>
      <c r="O16" s="252">
        <v>6</v>
      </c>
      <c r="P16" s="247" t="str">
        <f>IF(変換入力画面!D21="","",変換入力画面!D21)</f>
        <v/>
      </c>
      <c r="Q16" s="255" t="str">
        <f>IF(変換入力画面!E21="","",変換入力画面!E21)</f>
        <v/>
      </c>
      <c r="R16" s="290" t="str">
        <f>IF(変換入力画面!F21="","",変換入力画面!F21)</f>
        <v/>
      </c>
      <c r="S16" s="255" t="str">
        <f>IF(変換入力画面!G21="","",変換入力画面!G21)</f>
        <v/>
      </c>
      <c r="T16" s="256" t="str">
        <f>IF(変換入力画面!H21="","",変換入力画面!H21)</f>
        <v/>
      </c>
      <c r="U16" s="255" t="str">
        <f>IF(変換入力画面!D21="","",アフィン変換!H60)</f>
        <v/>
      </c>
      <c r="V16" s="256" t="str">
        <f>IF(変換入力画面!D21="","",アフィン変換!I60)</f>
        <v/>
      </c>
      <c r="W16" s="253" t="str">
        <f t="shared" si="8"/>
        <v/>
      </c>
      <c r="X16" s="277" t="str">
        <f t="shared" si="8"/>
        <v/>
      </c>
      <c r="Y16" s="302" t="str">
        <f t="shared" si="9"/>
        <v/>
      </c>
    </row>
    <row r="17" spans="2:25" ht="12.6" customHeight="1">
      <c r="B17" s="278">
        <v>7</v>
      </c>
      <c r="C17" s="247" t="str">
        <f>IF(変換入力画面!D22="","",変換入力画面!D22)</f>
        <v/>
      </c>
      <c r="D17" s="274" t="str">
        <f>IF(変換入力画面!E22="","",変換入力画面!E22)</f>
        <v/>
      </c>
      <c r="E17" s="275" t="str">
        <f>IF(変換入力画面!F22="","",変換入力画面!F22)</f>
        <v/>
      </c>
      <c r="F17" s="255" t="str">
        <f>IF(変換入力画面!G22="","",変換入力画面!G22)</f>
        <v/>
      </c>
      <c r="G17" s="256" t="str">
        <f>IF(変換入力画面!H22="","",変換入力画面!H22)</f>
        <v/>
      </c>
      <c r="H17" s="255" t="str">
        <f>IF(変換入力画面!D22="","",ヘルマート変換!H58)</f>
        <v/>
      </c>
      <c r="I17" s="256" t="str">
        <f>IF(変換入力画面!D22="","",ヘルマート変換!I58)</f>
        <v/>
      </c>
      <c r="J17" s="253" t="str">
        <f t="shared" si="6"/>
        <v/>
      </c>
      <c r="K17" s="277" t="str">
        <f t="shared" si="6"/>
        <v/>
      </c>
      <c r="L17" s="302" t="str">
        <f t="shared" si="7"/>
        <v/>
      </c>
      <c r="M17" s="296"/>
      <c r="N17" s="298"/>
      <c r="O17" s="278">
        <v>7</v>
      </c>
      <c r="P17" s="247" t="str">
        <f>IF(変換入力画面!D22="","",変換入力画面!D22)</f>
        <v/>
      </c>
      <c r="Q17" s="255" t="str">
        <f>IF(変換入力画面!E22="","",変換入力画面!E22)</f>
        <v/>
      </c>
      <c r="R17" s="290" t="str">
        <f>IF(変換入力画面!F22="","",変換入力画面!F22)</f>
        <v/>
      </c>
      <c r="S17" s="255" t="str">
        <f>IF(変換入力画面!G22="","",変換入力画面!G22)</f>
        <v/>
      </c>
      <c r="T17" s="256" t="str">
        <f>IF(変換入力画面!H22="","",変換入力画面!H22)</f>
        <v/>
      </c>
      <c r="U17" s="255" t="str">
        <f>IF(変換入力画面!D22="","",アフィン変換!H61)</f>
        <v/>
      </c>
      <c r="V17" s="256" t="str">
        <f>IF(変換入力画面!D22="","",アフィン変換!I61)</f>
        <v/>
      </c>
      <c r="W17" s="253" t="str">
        <f t="shared" si="8"/>
        <v/>
      </c>
      <c r="X17" s="277" t="str">
        <f t="shared" si="8"/>
        <v/>
      </c>
      <c r="Y17" s="302" t="str">
        <f t="shared" si="9"/>
        <v/>
      </c>
    </row>
    <row r="18" spans="2:25" ht="12.6" customHeight="1">
      <c r="B18" s="279">
        <v>8</v>
      </c>
      <c r="C18" s="247" t="str">
        <f>IF(変換入力画面!D23="","",変換入力画面!D23)</f>
        <v/>
      </c>
      <c r="D18" s="274" t="str">
        <f>IF(変換入力画面!E23="","",変換入力画面!E23)</f>
        <v/>
      </c>
      <c r="E18" s="275" t="str">
        <f>IF(変換入力画面!F23="","",変換入力画面!F23)</f>
        <v/>
      </c>
      <c r="F18" s="255" t="str">
        <f>IF(変換入力画面!G23="","",変換入力画面!G23)</f>
        <v/>
      </c>
      <c r="G18" s="256" t="str">
        <f>IF(変換入力画面!H23="","",変換入力画面!H23)</f>
        <v/>
      </c>
      <c r="H18" s="255" t="str">
        <f>IF(変換入力画面!D23="","",ヘルマート変換!H59)</f>
        <v/>
      </c>
      <c r="I18" s="256" t="str">
        <f>IF(変換入力画面!D23="","",ヘルマート変換!I59)</f>
        <v/>
      </c>
      <c r="J18" s="253" t="str">
        <f t="shared" si="6"/>
        <v/>
      </c>
      <c r="K18" s="277" t="str">
        <f t="shared" si="6"/>
        <v/>
      </c>
      <c r="L18" s="302" t="str">
        <f t="shared" si="7"/>
        <v/>
      </c>
      <c r="M18" s="296"/>
      <c r="N18" s="298"/>
      <c r="O18" s="279">
        <v>8</v>
      </c>
      <c r="P18" s="247" t="str">
        <f>IF(変換入力画面!D23="","",変換入力画面!D23)</f>
        <v/>
      </c>
      <c r="Q18" s="255" t="str">
        <f>IF(変換入力画面!E23="","",変換入力画面!E23)</f>
        <v/>
      </c>
      <c r="R18" s="290" t="str">
        <f>IF(変換入力画面!F23="","",変換入力画面!F23)</f>
        <v/>
      </c>
      <c r="S18" s="255" t="str">
        <f>IF(変換入力画面!G23="","",変換入力画面!G23)</f>
        <v/>
      </c>
      <c r="T18" s="256" t="str">
        <f>IF(変換入力画面!H23="","",変換入力画面!H23)</f>
        <v/>
      </c>
      <c r="U18" s="255" t="str">
        <f>IF(変換入力画面!D23="","",アフィン変換!H62)</f>
        <v/>
      </c>
      <c r="V18" s="256" t="str">
        <f>IF(変換入力画面!D23="","",アフィン変換!I62)</f>
        <v/>
      </c>
      <c r="W18" s="253" t="str">
        <f t="shared" si="8"/>
        <v/>
      </c>
      <c r="X18" s="277" t="str">
        <f t="shared" si="8"/>
        <v/>
      </c>
      <c r="Y18" s="302" t="str">
        <f t="shared" si="9"/>
        <v/>
      </c>
    </row>
    <row r="19" spans="2:25" ht="12.6" customHeight="1">
      <c r="B19" s="279">
        <v>9</v>
      </c>
      <c r="C19" s="247" t="str">
        <f>IF(変換入力画面!D24="","",変換入力画面!D24)</f>
        <v/>
      </c>
      <c r="D19" s="274" t="str">
        <f>IF(変換入力画面!E24="","",変換入力画面!E24)</f>
        <v/>
      </c>
      <c r="E19" s="275" t="str">
        <f>IF(変換入力画面!F24="","",変換入力画面!F24)</f>
        <v/>
      </c>
      <c r="F19" s="255" t="str">
        <f>IF(変換入力画面!G24="","",変換入力画面!G24)</f>
        <v/>
      </c>
      <c r="G19" s="256" t="str">
        <f>IF(変換入力画面!H24="","",変換入力画面!H24)</f>
        <v/>
      </c>
      <c r="H19" s="255" t="str">
        <f>IF(変換入力画面!D24="","",ヘルマート変換!H60)</f>
        <v/>
      </c>
      <c r="I19" s="256" t="str">
        <f>IF(変換入力画面!D24="","",ヘルマート変換!I60)</f>
        <v/>
      </c>
      <c r="J19" s="253" t="str">
        <f t="shared" si="6"/>
        <v/>
      </c>
      <c r="K19" s="277" t="str">
        <f t="shared" si="6"/>
        <v/>
      </c>
      <c r="L19" s="302" t="str">
        <f t="shared" si="7"/>
        <v/>
      </c>
      <c r="M19" s="296"/>
      <c r="N19" s="298"/>
      <c r="O19" s="279">
        <v>9</v>
      </c>
      <c r="P19" s="247" t="str">
        <f>IF(変換入力画面!D24="","",変換入力画面!D24)</f>
        <v/>
      </c>
      <c r="Q19" s="255" t="str">
        <f>IF(変換入力画面!E24="","",変換入力画面!E24)</f>
        <v/>
      </c>
      <c r="R19" s="290" t="str">
        <f>IF(変換入力画面!F24="","",変換入力画面!F24)</f>
        <v/>
      </c>
      <c r="S19" s="255" t="str">
        <f>IF(変換入力画面!G24="","",変換入力画面!G24)</f>
        <v/>
      </c>
      <c r="T19" s="256" t="str">
        <f>IF(変換入力画面!H24="","",変換入力画面!H24)</f>
        <v/>
      </c>
      <c r="U19" s="255" t="str">
        <f>IF(変換入力画面!D24="","",アフィン変換!H63)</f>
        <v/>
      </c>
      <c r="V19" s="256" t="str">
        <f>IF(変換入力画面!D24="","",アフィン変換!I63)</f>
        <v/>
      </c>
      <c r="W19" s="253" t="str">
        <f t="shared" si="8"/>
        <v/>
      </c>
      <c r="X19" s="277" t="str">
        <f t="shared" si="8"/>
        <v/>
      </c>
      <c r="Y19" s="302" t="str">
        <f t="shared" si="9"/>
        <v/>
      </c>
    </row>
    <row r="20" spans="2:25" ht="12.6" customHeight="1">
      <c r="B20" s="279">
        <v>10</v>
      </c>
      <c r="C20" s="247" t="str">
        <f>IF(変換入力画面!D25="","",変換入力画面!D25)</f>
        <v/>
      </c>
      <c r="D20" s="274" t="str">
        <f>IF(変換入力画面!E25="","",変換入力画面!E25)</f>
        <v/>
      </c>
      <c r="E20" s="275" t="str">
        <f>IF(変換入力画面!F25="","",変換入力画面!F25)</f>
        <v/>
      </c>
      <c r="F20" s="255" t="str">
        <f>IF(変換入力画面!G25="","",変換入力画面!G25)</f>
        <v/>
      </c>
      <c r="G20" s="256" t="str">
        <f>IF(変換入力画面!H25="","",変換入力画面!H25)</f>
        <v/>
      </c>
      <c r="H20" s="255" t="str">
        <f>IF(変換入力画面!D25="","",ヘルマート変換!H61)</f>
        <v/>
      </c>
      <c r="I20" s="256" t="str">
        <f>IF(変換入力画面!D25="","",ヘルマート変換!I61)</f>
        <v/>
      </c>
      <c r="J20" s="253" t="str">
        <f t="shared" si="6"/>
        <v/>
      </c>
      <c r="K20" s="277" t="str">
        <f t="shared" si="6"/>
        <v/>
      </c>
      <c r="L20" s="302" t="str">
        <f t="shared" si="7"/>
        <v/>
      </c>
      <c r="M20" s="296"/>
      <c r="N20" s="298"/>
      <c r="O20" s="279">
        <v>10</v>
      </c>
      <c r="P20" s="247" t="str">
        <f>IF(変換入力画面!D25="","",変換入力画面!D25)</f>
        <v/>
      </c>
      <c r="Q20" s="255" t="str">
        <f>IF(変換入力画面!E25="","",変換入力画面!E25)</f>
        <v/>
      </c>
      <c r="R20" s="290" t="str">
        <f>IF(変換入力画面!F25="","",変換入力画面!F25)</f>
        <v/>
      </c>
      <c r="S20" s="255" t="str">
        <f>IF(変換入力画面!G25="","",変換入力画面!G25)</f>
        <v/>
      </c>
      <c r="T20" s="256" t="str">
        <f>IF(変換入力画面!H25="","",変換入力画面!H25)</f>
        <v/>
      </c>
      <c r="U20" s="255" t="str">
        <f>IF(変換入力画面!D25="","",アフィン変換!H64)</f>
        <v/>
      </c>
      <c r="V20" s="256" t="str">
        <f>IF(変換入力画面!D25="","",アフィン変換!I64)</f>
        <v/>
      </c>
      <c r="W20" s="253" t="str">
        <f t="shared" si="8"/>
        <v/>
      </c>
      <c r="X20" s="277" t="str">
        <f t="shared" si="8"/>
        <v/>
      </c>
      <c r="Y20" s="302" t="str">
        <f t="shared" si="9"/>
        <v/>
      </c>
    </row>
    <row r="21" spans="2:25" ht="12.6" customHeight="1">
      <c r="B21" s="279">
        <v>11</v>
      </c>
      <c r="C21" s="247" t="str">
        <f>IF(変換入力画面!D26="","",変換入力画面!D26)</f>
        <v/>
      </c>
      <c r="D21" s="274" t="str">
        <f>IF(変換入力画面!E26="","",変換入力画面!E26)</f>
        <v/>
      </c>
      <c r="E21" s="275" t="str">
        <f>IF(変換入力画面!F26="","",変換入力画面!F26)</f>
        <v/>
      </c>
      <c r="F21" s="255" t="str">
        <f>IF(変換入力画面!G26="","",変換入力画面!G26)</f>
        <v/>
      </c>
      <c r="G21" s="256" t="str">
        <f>IF(変換入力画面!H26="","",変換入力画面!H26)</f>
        <v/>
      </c>
      <c r="H21" s="255" t="str">
        <f>IF(変換入力画面!D26="","",ヘルマート変換!H62)</f>
        <v/>
      </c>
      <c r="I21" s="256" t="str">
        <f>IF(変換入力画面!D26="","",ヘルマート変換!I62)</f>
        <v/>
      </c>
      <c r="J21" s="253" t="str">
        <f t="shared" si="6"/>
        <v/>
      </c>
      <c r="K21" s="277" t="str">
        <f t="shared" si="6"/>
        <v/>
      </c>
      <c r="L21" s="302" t="str">
        <f t="shared" si="7"/>
        <v/>
      </c>
      <c r="M21" s="296"/>
      <c r="N21" s="298"/>
      <c r="O21" s="279">
        <v>11</v>
      </c>
      <c r="P21" s="247" t="str">
        <f>IF(変換入力画面!D26="","",変換入力画面!D26)</f>
        <v/>
      </c>
      <c r="Q21" s="255" t="str">
        <f>IF(変換入力画面!E26="","",変換入力画面!E26)</f>
        <v/>
      </c>
      <c r="R21" s="290" t="str">
        <f>IF(変換入力画面!F26="","",変換入力画面!F26)</f>
        <v/>
      </c>
      <c r="S21" s="255" t="str">
        <f>IF(変換入力画面!G26="","",変換入力画面!G26)</f>
        <v/>
      </c>
      <c r="T21" s="256" t="str">
        <f>IF(変換入力画面!H26="","",変換入力画面!H26)</f>
        <v/>
      </c>
      <c r="U21" s="255" t="str">
        <f>IF(変換入力画面!D26="","",アフィン変換!H65)</f>
        <v/>
      </c>
      <c r="V21" s="256" t="str">
        <f>IF(変換入力画面!D26="","",アフィン変換!I65)</f>
        <v/>
      </c>
      <c r="W21" s="253" t="str">
        <f t="shared" si="8"/>
        <v/>
      </c>
      <c r="X21" s="277" t="str">
        <f t="shared" si="8"/>
        <v/>
      </c>
      <c r="Y21" s="302" t="str">
        <f t="shared" si="9"/>
        <v/>
      </c>
    </row>
    <row r="22" spans="2:25" ht="12.6" customHeight="1">
      <c r="B22" s="280">
        <v>12</v>
      </c>
      <c r="C22" s="247" t="str">
        <f>IF(変換入力画面!D27="","",変換入力画面!D27)</f>
        <v/>
      </c>
      <c r="D22" s="274" t="str">
        <f>IF(変換入力画面!E27="","",変換入力画面!E27)</f>
        <v/>
      </c>
      <c r="E22" s="275" t="str">
        <f>IF(変換入力画面!F27="","",変換入力画面!F27)</f>
        <v/>
      </c>
      <c r="F22" s="255" t="str">
        <f>IF(変換入力画面!G27="","",変換入力画面!G27)</f>
        <v/>
      </c>
      <c r="G22" s="256" t="str">
        <f>IF(変換入力画面!H27="","",変換入力画面!H27)</f>
        <v/>
      </c>
      <c r="H22" s="255" t="str">
        <f>IF(変換入力画面!D27="","",ヘルマート変換!H63)</f>
        <v/>
      </c>
      <c r="I22" s="256" t="str">
        <f>IF(変換入力画面!D27="","",ヘルマート変換!I63)</f>
        <v/>
      </c>
      <c r="J22" s="253" t="str">
        <f t="shared" si="6"/>
        <v/>
      </c>
      <c r="K22" s="277" t="str">
        <f t="shared" si="6"/>
        <v/>
      </c>
      <c r="L22" s="302" t="str">
        <f t="shared" si="7"/>
        <v/>
      </c>
      <c r="M22" s="296"/>
      <c r="N22" s="298"/>
      <c r="O22" s="280">
        <v>12</v>
      </c>
      <c r="P22" s="247" t="str">
        <f>IF(変換入力画面!D27="","",変換入力画面!D27)</f>
        <v/>
      </c>
      <c r="Q22" s="255" t="str">
        <f>IF(変換入力画面!E27="","",変換入力画面!E27)</f>
        <v/>
      </c>
      <c r="R22" s="290" t="str">
        <f>IF(変換入力画面!F27="","",変換入力画面!F27)</f>
        <v/>
      </c>
      <c r="S22" s="255" t="str">
        <f>IF(変換入力画面!G27="","",変換入力画面!G27)</f>
        <v/>
      </c>
      <c r="T22" s="256" t="str">
        <f>IF(変換入力画面!H27="","",変換入力画面!H27)</f>
        <v/>
      </c>
      <c r="U22" s="255" t="str">
        <f>IF(変換入力画面!D27="","",アフィン変換!H66)</f>
        <v/>
      </c>
      <c r="V22" s="256" t="str">
        <f>IF(変換入力画面!D27="","",アフィン変換!I66)</f>
        <v/>
      </c>
      <c r="W22" s="253" t="str">
        <f t="shared" si="8"/>
        <v/>
      </c>
      <c r="X22" s="277" t="str">
        <f t="shared" si="8"/>
        <v/>
      </c>
      <c r="Y22" s="302" t="str">
        <f t="shared" si="9"/>
        <v/>
      </c>
    </row>
    <row r="23" spans="2:25" ht="12.6" customHeight="1">
      <c r="B23" s="281">
        <v>13</v>
      </c>
      <c r="C23" s="247" t="str">
        <f>IF(変換入力画面!D28="","",変換入力画面!D28)</f>
        <v/>
      </c>
      <c r="D23" s="274" t="str">
        <f>IF(変換入力画面!E28="","",変換入力画面!E28)</f>
        <v/>
      </c>
      <c r="E23" s="275" t="str">
        <f>IF(変換入力画面!F28="","",変換入力画面!F28)</f>
        <v/>
      </c>
      <c r="F23" s="255" t="str">
        <f>IF(変換入力画面!G28="","",変換入力画面!G28)</f>
        <v/>
      </c>
      <c r="G23" s="256" t="str">
        <f>IF(変換入力画面!H28="","",変換入力画面!H28)</f>
        <v/>
      </c>
      <c r="H23" s="255" t="str">
        <f>IF(変換入力画面!D28="","",ヘルマート変換!H64)</f>
        <v/>
      </c>
      <c r="I23" s="256" t="str">
        <f>IF(変換入力画面!D28="","",ヘルマート変換!I64)</f>
        <v/>
      </c>
      <c r="J23" s="253" t="str">
        <f t="shared" si="6"/>
        <v/>
      </c>
      <c r="K23" s="277" t="str">
        <f t="shared" si="6"/>
        <v/>
      </c>
      <c r="L23" s="302" t="str">
        <f t="shared" si="7"/>
        <v/>
      </c>
      <c r="M23" s="296"/>
      <c r="N23" s="298"/>
      <c r="O23" s="281">
        <v>13</v>
      </c>
      <c r="P23" s="247" t="str">
        <f>IF(変換入力画面!D28="","",変換入力画面!D28)</f>
        <v/>
      </c>
      <c r="Q23" s="255" t="str">
        <f>IF(変換入力画面!E28="","",変換入力画面!E28)</f>
        <v/>
      </c>
      <c r="R23" s="290" t="str">
        <f>IF(変換入力画面!F28="","",変換入力画面!F28)</f>
        <v/>
      </c>
      <c r="S23" s="255" t="str">
        <f>IF(変換入力画面!G28="","",変換入力画面!G28)</f>
        <v/>
      </c>
      <c r="T23" s="256" t="str">
        <f>IF(変換入力画面!H28="","",変換入力画面!H28)</f>
        <v/>
      </c>
      <c r="U23" s="255" t="str">
        <f>IF(変換入力画面!D28="","",アフィン変換!H67)</f>
        <v/>
      </c>
      <c r="V23" s="256" t="str">
        <f>IF(変換入力画面!D28="","",アフィン変換!I67)</f>
        <v/>
      </c>
      <c r="W23" s="253" t="str">
        <f t="shared" si="8"/>
        <v/>
      </c>
      <c r="X23" s="277" t="str">
        <f t="shared" si="8"/>
        <v/>
      </c>
      <c r="Y23" s="302" t="str">
        <f t="shared" si="9"/>
        <v/>
      </c>
    </row>
    <row r="24" spans="2:25" ht="12.6" customHeight="1">
      <c r="B24" s="281">
        <v>14</v>
      </c>
      <c r="C24" s="247" t="str">
        <f>IF(変換入力画面!D29="","",変換入力画面!D29)</f>
        <v/>
      </c>
      <c r="D24" s="274" t="str">
        <f>IF(変換入力画面!E29="","",変換入力画面!E29)</f>
        <v/>
      </c>
      <c r="E24" s="275" t="str">
        <f>IF(変換入力画面!F29="","",変換入力画面!F29)</f>
        <v/>
      </c>
      <c r="F24" s="255" t="str">
        <f>IF(変換入力画面!G29="","",変換入力画面!G29)</f>
        <v/>
      </c>
      <c r="G24" s="256" t="str">
        <f>IF(変換入力画面!H29="","",変換入力画面!H29)</f>
        <v/>
      </c>
      <c r="H24" s="255" t="str">
        <f>IF(変換入力画面!D29="","",ヘルマート変換!H65)</f>
        <v/>
      </c>
      <c r="I24" s="256" t="str">
        <f>IF(変換入力画面!D29="","",ヘルマート変換!I65)</f>
        <v/>
      </c>
      <c r="J24" s="253" t="str">
        <f t="shared" si="6"/>
        <v/>
      </c>
      <c r="K24" s="277" t="str">
        <f t="shared" si="6"/>
        <v/>
      </c>
      <c r="L24" s="302" t="str">
        <f t="shared" si="7"/>
        <v/>
      </c>
      <c r="M24" s="296"/>
      <c r="N24" s="298"/>
      <c r="O24" s="281">
        <v>14</v>
      </c>
      <c r="P24" s="247" t="str">
        <f>IF(変換入力画面!D29="","",変換入力画面!D29)</f>
        <v/>
      </c>
      <c r="Q24" s="255" t="str">
        <f>IF(変換入力画面!E29="","",変換入力画面!E29)</f>
        <v/>
      </c>
      <c r="R24" s="290" t="str">
        <f>IF(変換入力画面!F29="","",変換入力画面!F29)</f>
        <v/>
      </c>
      <c r="S24" s="255" t="str">
        <f>IF(変換入力画面!G29="","",変換入力画面!G29)</f>
        <v/>
      </c>
      <c r="T24" s="256" t="str">
        <f>IF(変換入力画面!H29="","",変換入力画面!H29)</f>
        <v/>
      </c>
      <c r="U24" s="255" t="str">
        <f>IF(変換入力画面!D29="","",アフィン変換!H68)</f>
        <v/>
      </c>
      <c r="V24" s="256" t="str">
        <f>IF(変換入力画面!D29="","",アフィン変換!I68)</f>
        <v/>
      </c>
      <c r="W24" s="253" t="str">
        <f t="shared" si="8"/>
        <v/>
      </c>
      <c r="X24" s="277" t="str">
        <f t="shared" si="8"/>
        <v/>
      </c>
      <c r="Y24" s="302" t="str">
        <f t="shared" si="9"/>
        <v/>
      </c>
    </row>
    <row r="25" spans="2:25" ht="12.6" customHeight="1">
      <c r="B25" s="281">
        <v>15</v>
      </c>
      <c r="C25" s="247" t="str">
        <f>IF(変換入力画面!D30="","",変換入力画面!D30)</f>
        <v/>
      </c>
      <c r="D25" s="274" t="str">
        <f>IF(変換入力画面!E30="","",変換入力画面!E30)</f>
        <v/>
      </c>
      <c r="E25" s="275" t="str">
        <f>IF(変換入力画面!F30="","",変換入力画面!F30)</f>
        <v/>
      </c>
      <c r="F25" s="255" t="str">
        <f>IF(変換入力画面!G30="","",変換入力画面!G30)</f>
        <v/>
      </c>
      <c r="G25" s="256" t="str">
        <f>IF(変換入力画面!H30="","",変換入力画面!H30)</f>
        <v/>
      </c>
      <c r="H25" s="255" t="str">
        <f>IF(変換入力画面!D30="","",ヘルマート変換!H66)</f>
        <v/>
      </c>
      <c r="I25" s="256" t="str">
        <f>IF(変換入力画面!D30="","",ヘルマート変換!I66)</f>
        <v/>
      </c>
      <c r="J25" s="253" t="str">
        <f t="shared" si="6"/>
        <v/>
      </c>
      <c r="K25" s="277" t="str">
        <f t="shared" si="6"/>
        <v/>
      </c>
      <c r="L25" s="302" t="str">
        <f t="shared" si="7"/>
        <v/>
      </c>
      <c r="M25" s="296"/>
      <c r="N25" s="298"/>
      <c r="O25" s="281">
        <v>15</v>
      </c>
      <c r="P25" s="247" t="str">
        <f>IF(変換入力画面!D30="","",変換入力画面!D30)</f>
        <v/>
      </c>
      <c r="Q25" s="255" t="str">
        <f>IF(変換入力画面!E30="","",変換入力画面!E30)</f>
        <v/>
      </c>
      <c r="R25" s="290" t="str">
        <f>IF(変換入力画面!F30="","",変換入力画面!F30)</f>
        <v/>
      </c>
      <c r="S25" s="255" t="str">
        <f>IF(変換入力画面!G30="","",変換入力画面!G30)</f>
        <v/>
      </c>
      <c r="T25" s="256" t="str">
        <f>IF(変換入力画面!H30="","",変換入力画面!H30)</f>
        <v/>
      </c>
      <c r="U25" s="255" t="str">
        <f>IF(変換入力画面!D30="","",アフィン変換!H69)</f>
        <v/>
      </c>
      <c r="V25" s="256" t="str">
        <f>IF(変換入力画面!D30="","",アフィン変換!I69)</f>
        <v/>
      </c>
      <c r="W25" s="253" t="str">
        <f t="shared" si="8"/>
        <v/>
      </c>
      <c r="X25" s="277" t="str">
        <f t="shared" si="8"/>
        <v/>
      </c>
      <c r="Y25" s="302" t="str">
        <f t="shared" si="9"/>
        <v/>
      </c>
    </row>
    <row r="26" spans="2:25" ht="12.6" customHeight="1">
      <c r="B26" s="281">
        <v>16</v>
      </c>
      <c r="C26" s="247"/>
      <c r="D26" s="274"/>
      <c r="E26" s="275"/>
      <c r="F26" s="255"/>
      <c r="G26" s="256"/>
      <c r="H26" s="255"/>
      <c r="I26" s="256"/>
      <c r="J26" s="253"/>
      <c r="K26" s="277"/>
      <c r="L26" s="302"/>
      <c r="M26" s="296"/>
      <c r="N26" s="298"/>
      <c r="O26" s="281">
        <v>16</v>
      </c>
      <c r="P26" s="247"/>
      <c r="Q26" s="255"/>
      <c r="R26" s="290"/>
      <c r="S26" s="255"/>
      <c r="T26" s="256"/>
      <c r="U26" s="255"/>
      <c r="V26" s="256"/>
      <c r="W26" s="253"/>
      <c r="X26" s="277"/>
      <c r="Y26" s="302"/>
    </row>
    <row r="27" spans="2:25" ht="12.6" customHeight="1">
      <c r="B27" s="281">
        <v>17</v>
      </c>
      <c r="C27" s="247"/>
      <c r="D27" s="274"/>
      <c r="E27" s="275"/>
      <c r="F27" s="255"/>
      <c r="G27" s="256"/>
      <c r="H27" s="255"/>
      <c r="I27" s="256"/>
      <c r="J27" s="253"/>
      <c r="K27" s="277"/>
      <c r="L27" s="302"/>
      <c r="M27" s="296"/>
      <c r="N27" s="298"/>
      <c r="O27" s="281">
        <v>17</v>
      </c>
      <c r="P27" s="247"/>
      <c r="Q27" s="255"/>
      <c r="R27" s="290"/>
      <c r="S27" s="255"/>
      <c r="T27" s="256"/>
      <c r="U27" s="255"/>
      <c r="V27" s="256"/>
      <c r="W27" s="253"/>
      <c r="X27" s="277"/>
      <c r="Y27" s="302"/>
    </row>
    <row r="28" spans="2:25" ht="12.6" customHeight="1">
      <c r="B28" s="281">
        <v>18</v>
      </c>
      <c r="C28" s="247"/>
      <c r="D28" s="274"/>
      <c r="E28" s="275"/>
      <c r="F28" s="255"/>
      <c r="G28" s="256"/>
      <c r="H28" s="255"/>
      <c r="I28" s="256"/>
      <c r="J28" s="253"/>
      <c r="K28" s="277"/>
      <c r="L28" s="302"/>
      <c r="M28" s="296"/>
      <c r="N28" s="298"/>
      <c r="O28" s="281">
        <v>18</v>
      </c>
      <c r="P28" s="247"/>
      <c r="Q28" s="255"/>
      <c r="R28" s="290"/>
      <c r="S28" s="255"/>
      <c r="T28" s="256"/>
      <c r="U28" s="255"/>
      <c r="V28" s="256"/>
      <c r="W28" s="253"/>
      <c r="X28" s="277"/>
      <c r="Y28" s="302"/>
    </row>
    <row r="29" spans="2:25" ht="12.6" customHeight="1">
      <c r="B29" s="281">
        <v>19</v>
      </c>
      <c r="C29" s="247"/>
      <c r="D29" s="274"/>
      <c r="E29" s="275"/>
      <c r="F29" s="255"/>
      <c r="G29" s="256"/>
      <c r="H29" s="255"/>
      <c r="I29" s="256"/>
      <c r="J29" s="253"/>
      <c r="K29" s="277"/>
      <c r="L29" s="302"/>
      <c r="M29" s="296"/>
      <c r="N29" s="298"/>
      <c r="O29" s="281">
        <v>19</v>
      </c>
      <c r="P29" s="247"/>
      <c r="Q29" s="255"/>
      <c r="R29" s="290"/>
      <c r="S29" s="255"/>
      <c r="T29" s="256"/>
      <c r="U29" s="255"/>
      <c r="V29" s="256"/>
      <c r="W29" s="253"/>
      <c r="X29" s="277"/>
      <c r="Y29" s="302"/>
    </row>
    <row r="30" spans="2:25" ht="12.6" customHeight="1">
      <c r="B30" s="281">
        <v>20</v>
      </c>
      <c r="C30" s="247"/>
      <c r="D30" s="274"/>
      <c r="E30" s="275"/>
      <c r="F30" s="255"/>
      <c r="G30" s="256"/>
      <c r="H30" s="255"/>
      <c r="I30" s="256"/>
      <c r="J30" s="253"/>
      <c r="K30" s="277"/>
      <c r="L30" s="302"/>
      <c r="M30" s="296"/>
      <c r="N30" s="298"/>
      <c r="O30" s="281">
        <v>20</v>
      </c>
      <c r="P30" s="247"/>
      <c r="Q30" s="255"/>
      <c r="R30" s="290"/>
      <c r="S30" s="255"/>
      <c r="T30" s="256"/>
      <c r="U30" s="255"/>
      <c r="V30" s="256"/>
      <c r="W30" s="253"/>
      <c r="X30" s="277"/>
      <c r="Y30" s="302"/>
    </row>
    <row r="31" spans="2:25" ht="12.6" customHeight="1">
      <c r="B31" s="281">
        <v>21</v>
      </c>
      <c r="C31" s="247" t="str">
        <f>IF(変換入力画面!D31="","",変換入力画面!D31)</f>
        <v/>
      </c>
      <c r="D31" s="274" t="str">
        <f>IF(変換入力画面!E31="","",変換入力画面!E31)</f>
        <v/>
      </c>
      <c r="E31" s="275" t="str">
        <f>IF(変換入力画面!F31="","",変換入力画面!F31)</f>
        <v/>
      </c>
      <c r="F31" s="255" t="str">
        <f>IF(変換入力画面!G31="","",変換入力画面!G31)</f>
        <v/>
      </c>
      <c r="G31" s="256" t="str">
        <f>IF(変換入力画面!H31="","",変換入力画面!H31)</f>
        <v/>
      </c>
      <c r="H31" s="255" t="str">
        <f>IF(変換入力画面!D31="","",ヘルマート変換!H67)</f>
        <v/>
      </c>
      <c r="I31" s="256" t="str">
        <f>IF(変換入力画面!D31="","",ヘルマート変換!I67)</f>
        <v/>
      </c>
      <c r="J31" s="253" t="str">
        <f t="shared" si="6"/>
        <v/>
      </c>
      <c r="K31" s="277" t="str">
        <f t="shared" si="6"/>
        <v/>
      </c>
      <c r="L31" s="302" t="str">
        <f t="shared" si="7"/>
        <v/>
      </c>
      <c r="M31" s="296"/>
      <c r="N31" s="298"/>
      <c r="O31" s="281">
        <v>21</v>
      </c>
      <c r="P31" s="247" t="str">
        <f>IF(変換入力画面!D31="","",変換入力画面!D31)</f>
        <v/>
      </c>
      <c r="Q31" s="255" t="str">
        <f>IF(変換入力画面!E31="","",変換入力画面!E31)</f>
        <v/>
      </c>
      <c r="R31" s="290" t="str">
        <f>IF(変換入力画面!F31="","",変換入力画面!F31)</f>
        <v/>
      </c>
      <c r="S31" s="255" t="str">
        <f>IF(変換入力画面!G31="","",変換入力画面!G31)</f>
        <v/>
      </c>
      <c r="T31" s="256" t="str">
        <f>IF(変換入力画面!H31="","",変換入力画面!H31)</f>
        <v/>
      </c>
      <c r="U31" s="255" t="str">
        <f>IF(変換入力画面!D31="","",アフィン変換!H75)</f>
        <v/>
      </c>
      <c r="V31" s="256" t="str">
        <f>IF(変換入力画面!D31="","",アフィン変換!I75)</f>
        <v/>
      </c>
      <c r="W31" s="253" t="str">
        <f t="shared" si="8"/>
        <v/>
      </c>
      <c r="X31" s="277" t="str">
        <f t="shared" si="8"/>
        <v/>
      </c>
      <c r="Y31" s="302" t="str">
        <f t="shared" si="9"/>
        <v/>
      </c>
    </row>
    <row r="32" spans="2:25" ht="12.6" customHeight="1">
      <c r="B32" s="281">
        <v>22</v>
      </c>
      <c r="C32" s="247" t="str">
        <f>IF(変換入力画面!D32="","",変換入力画面!D32)</f>
        <v/>
      </c>
      <c r="D32" s="274" t="str">
        <f>IF(変換入力画面!E32="","",変換入力画面!E32)</f>
        <v/>
      </c>
      <c r="E32" s="275" t="str">
        <f>IF(変換入力画面!F32="","",変換入力画面!F32)</f>
        <v/>
      </c>
      <c r="F32" s="255" t="str">
        <f>IF(変換入力画面!G32="","",変換入力画面!G32)</f>
        <v/>
      </c>
      <c r="G32" s="256" t="str">
        <f>IF(変換入力画面!H32="","",変換入力画面!H32)</f>
        <v/>
      </c>
      <c r="H32" s="255" t="str">
        <f>IF(変換入力画面!D32="","",ヘルマート変換!H68)</f>
        <v/>
      </c>
      <c r="I32" s="256" t="str">
        <f>IF(変換入力画面!D32="","",ヘルマート変換!I68)</f>
        <v/>
      </c>
      <c r="J32" s="253" t="str">
        <f t="shared" si="6"/>
        <v/>
      </c>
      <c r="K32" s="277" t="str">
        <f t="shared" si="6"/>
        <v/>
      </c>
      <c r="L32" s="302" t="str">
        <f t="shared" si="7"/>
        <v/>
      </c>
      <c r="M32" s="296"/>
      <c r="N32" s="298"/>
      <c r="O32" s="281">
        <v>22</v>
      </c>
      <c r="P32" s="291" t="str">
        <f>IF(変換入力画面!D32="","",変換入力画面!D32)</f>
        <v/>
      </c>
      <c r="Q32" s="255" t="str">
        <f>IF(変換入力画面!E32="","",変換入力画面!E32)</f>
        <v/>
      </c>
      <c r="R32" s="290" t="str">
        <f>IF(変換入力画面!F32="","",変換入力画面!F32)</f>
        <v/>
      </c>
      <c r="S32" s="255" t="str">
        <f>IF(変換入力画面!G32="","",変換入力画面!G32)</f>
        <v/>
      </c>
      <c r="T32" s="256" t="str">
        <f>IF(変換入力画面!H32="","",変換入力画面!H32)</f>
        <v/>
      </c>
      <c r="U32" s="255" t="str">
        <f>IF(変換入力画面!D32="","",アフィン変換!H76)</f>
        <v/>
      </c>
      <c r="V32" s="256" t="str">
        <f>IF(変換入力画面!D32="","",アフィン変換!I76)</f>
        <v/>
      </c>
      <c r="W32" s="253" t="str">
        <f t="shared" si="8"/>
        <v/>
      </c>
      <c r="X32" s="277" t="str">
        <f t="shared" si="8"/>
        <v/>
      </c>
      <c r="Y32" s="302" t="str">
        <f t="shared" si="9"/>
        <v/>
      </c>
    </row>
    <row r="33" spans="2:25" ht="12.6" customHeight="1">
      <c r="B33" s="281">
        <v>23</v>
      </c>
      <c r="C33" s="247" t="str">
        <f>IF(変換入力画面!D33="","",変換入力画面!D33)</f>
        <v/>
      </c>
      <c r="D33" s="274" t="str">
        <f>IF(変換入力画面!E33="","",変換入力画面!E33)</f>
        <v/>
      </c>
      <c r="E33" s="275" t="str">
        <f>IF(変換入力画面!F33="","",変換入力画面!F33)</f>
        <v/>
      </c>
      <c r="F33" s="255" t="str">
        <f>IF(変換入力画面!G33="","",変換入力画面!G33)</f>
        <v/>
      </c>
      <c r="G33" s="256" t="str">
        <f>IF(変換入力画面!H33="","",変換入力画面!H33)</f>
        <v/>
      </c>
      <c r="H33" s="255" t="str">
        <f>IF(変換入力画面!D33="","",ヘルマート変換!H73)</f>
        <v/>
      </c>
      <c r="I33" s="256" t="str">
        <f>IF(変換入力画面!D33="","",ヘルマート変換!I73)</f>
        <v/>
      </c>
      <c r="J33" s="253" t="str">
        <f t="shared" ref="J33:K34" si="10">IF(F33="","",F33-H33)</f>
        <v/>
      </c>
      <c r="K33" s="277" t="str">
        <f t="shared" si="10"/>
        <v/>
      </c>
      <c r="L33" s="302" t="str">
        <f t="shared" si="7"/>
        <v/>
      </c>
      <c r="M33" s="296"/>
      <c r="N33" s="298"/>
      <c r="O33" s="281">
        <v>23</v>
      </c>
      <c r="P33" s="247" t="str">
        <f>IF(変換入力画面!D33="","",変換入力画面!D33)</f>
        <v/>
      </c>
      <c r="Q33" s="255" t="str">
        <f>IF(変換入力画面!E33="","",変換入力画面!E33)</f>
        <v/>
      </c>
      <c r="R33" s="290" t="str">
        <f>IF(変換入力画面!F33="","",変換入力画面!F33)</f>
        <v/>
      </c>
      <c r="S33" s="255" t="str">
        <f>IF(変換入力画面!G33="","",変換入力画面!G33)</f>
        <v/>
      </c>
      <c r="T33" s="256" t="str">
        <f>IF(変換入力画面!H33="","",変換入力画面!H33)</f>
        <v/>
      </c>
      <c r="U33" s="255" t="str">
        <f>IF(変換入力画面!D33="","",アフィン変換!H77)</f>
        <v/>
      </c>
      <c r="V33" s="256" t="str">
        <f>IF(変換入力画面!D33="","",アフィン変換!I77)</f>
        <v/>
      </c>
      <c r="W33" s="253" t="str">
        <f t="shared" ref="W33:X34" si="11">IF(S33="","",S33-U33)</f>
        <v/>
      </c>
      <c r="X33" s="277" t="str">
        <f t="shared" si="11"/>
        <v/>
      </c>
      <c r="Y33" s="302" t="str">
        <f t="shared" si="9"/>
        <v/>
      </c>
    </row>
    <row r="34" spans="2:25" ht="12.6" customHeight="1" thickBot="1">
      <c r="B34" s="282">
        <v>24</v>
      </c>
      <c r="C34" s="283" t="str">
        <f>IF(変換入力画面!D34="","",変換入力画面!D34)</f>
        <v/>
      </c>
      <c r="D34" s="274" t="str">
        <f>IF(変換入力画面!E34="","",変換入力画面!E34)</f>
        <v/>
      </c>
      <c r="E34" s="275" t="str">
        <f>IF(変換入力画面!F34="","",変換入力画面!F34)</f>
        <v/>
      </c>
      <c r="F34" s="255" t="str">
        <f>IF(変換入力画面!G34="","",変換入力画面!G34)</f>
        <v/>
      </c>
      <c r="G34" s="256" t="str">
        <f>IF(変換入力画面!H34="","",変換入力画面!H34)</f>
        <v/>
      </c>
      <c r="H34" s="255" t="str">
        <f>IF(変換入力画面!D34="","",ヘルマート変換!H74)</f>
        <v/>
      </c>
      <c r="I34" s="256" t="str">
        <f>IF(変換入力画面!D34="","",ヘルマート変換!I74)</f>
        <v/>
      </c>
      <c r="J34" s="253" t="str">
        <f t="shared" si="10"/>
        <v/>
      </c>
      <c r="K34" s="277" t="str">
        <f t="shared" si="10"/>
        <v/>
      </c>
      <c r="L34" s="302" t="str">
        <f t="shared" si="7"/>
        <v/>
      </c>
      <c r="M34" s="296"/>
      <c r="N34" s="298"/>
      <c r="O34" s="281">
        <v>24</v>
      </c>
      <c r="P34" s="247" t="str">
        <f>IF(変換入力画面!D34="","",変換入力画面!D34)</f>
        <v/>
      </c>
      <c r="Q34" s="255" t="str">
        <f>IF(変換入力画面!E34="","",変換入力画面!E34)</f>
        <v/>
      </c>
      <c r="R34" s="290" t="str">
        <f>IF(変換入力画面!F34="","",変換入力画面!F34)</f>
        <v/>
      </c>
      <c r="S34" s="255" t="str">
        <f>IF(変換入力画面!G34="","",変換入力画面!G34)</f>
        <v/>
      </c>
      <c r="T34" s="256" t="str">
        <f>IF(変換入力画面!H34="","",変換入力画面!H34)</f>
        <v/>
      </c>
      <c r="U34" s="255" t="str">
        <f>IF(変換入力画面!D34="","",アフィン変換!#REF!)</f>
        <v/>
      </c>
      <c r="V34" s="256" t="str">
        <f>IF(変換入力画面!D34="","",アフィン変換!#REF!)</f>
        <v/>
      </c>
      <c r="W34" s="253" t="str">
        <f t="shared" si="11"/>
        <v/>
      </c>
      <c r="X34" s="277" t="str">
        <f t="shared" si="11"/>
        <v/>
      </c>
      <c r="Y34" s="302" t="str">
        <f t="shared" si="9"/>
        <v/>
      </c>
    </row>
    <row r="35" spans="2:25" ht="12.6" customHeight="1">
      <c r="B35" s="284"/>
      <c r="C35" s="304"/>
      <c r="D35" s="305" t="s">
        <v>51</v>
      </c>
      <c r="E35" s="309">
        <f>ヘルマート変換!D77</f>
        <v>1.0034130000000001</v>
      </c>
      <c r="F35" s="305" t="s">
        <v>54</v>
      </c>
      <c r="G35" s="309">
        <f>ヘルマート変換!F77</f>
        <v>-2.349E-3</v>
      </c>
      <c r="H35" s="305" t="s">
        <v>123</v>
      </c>
      <c r="I35" s="305">
        <f>ヘルマート変換!H77</f>
        <v>-354.68599999999998</v>
      </c>
      <c r="J35" s="305" t="s">
        <v>124</v>
      </c>
      <c r="K35" s="305">
        <f>ヘルマート変換!J77</f>
        <v>217.846</v>
      </c>
      <c r="L35" s="300"/>
      <c r="M35" s="286"/>
      <c r="N35" s="286"/>
      <c r="O35" s="309"/>
      <c r="P35" s="305" t="s">
        <v>51</v>
      </c>
      <c r="Q35" s="310">
        <f>アフィン変換!D80</f>
        <v>1.00709</v>
      </c>
      <c r="R35" s="305" t="s">
        <v>54</v>
      </c>
      <c r="S35" s="310">
        <f>アフィン変換!F80</f>
        <v>5.2259999999999997E-3</v>
      </c>
      <c r="T35" s="305" t="s">
        <v>56</v>
      </c>
      <c r="U35" s="310">
        <f>アフィン変換!H80</f>
        <v>-8.9460000000000008E-3</v>
      </c>
      <c r="V35" s="305" t="s">
        <v>59</v>
      </c>
      <c r="W35" s="310">
        <f>アフィン変換!J80</f>
        <v>1.004756</v>
      </c>
      <c r="X35" s="305"/>
      <c r="Y35" s="300"/>
    </row>
    <row r="36" spans="2:25" ht="12.6" customHeight="1">
      <c r="B36" s="284"/>
      <c r="C36" s="304"/>
      <c r="D36" s="306" t="s">
        <v>125</v>
      </c>
      <c r="E36" s="313">
        <f>ヘルマート変換!E34</f>
        <v>1.0034149999999999</v>
      </c>
      <c r="F36" s="307"/>
      <c r="G36" s="306"/>
      <c r="H36" s="308"/>
      <c r="I36" s="306"/>
      <c r="J36" s="308"/>
      <c r="K36" s="306"/>
      <c r="L36" s="286"/>
      <c r="M36" s="286"/>
      <c r="N36" s="286"/>
      <c r="O36" s="422" t="s">
        <v>114</v>
      </c>
      <c r="P36" s="422"/>
      <c r="Q36" s="422"/>
      <c r="R36" s="311">
        <f>アフィン変換!F81</f>
        <v>191.57499999999999</v>
      </c>
      <c r="S36" s="425" t="s">
        <v>107</v>
      </c>
      <c r="T36" s="425"/>
      <c r="U36" s="312">
        <f>アフィン変換!H81</f>
        <v>72.451999999999998</v>
      </c>
      <c r="V36" s="311"/>
      <c r="W36" s="307" t="str">
        <f>F23</f>
        <v/>
      </c>
      <c r="X36" s="311"/>
      <c r="Y36" s="285" t="str">
        <f>F24</f>
        <v/>
      </c>
    </row>
    <row r="37" spans="2:25" ht="12.6" customHeight="1">
      <c r="O37" s="311"/>
      <c r="P37" s="422" t="s">
        <v>102</v>
      </c>
      <c r="Q37" s="422"/>
      <c r="R37" s="311">
        <f>アフィン変換!J81</f>
        <v>1.0071030000000001</v>
      </c>
      <c r="S37" s="422" t="s">
        <v>116</v>
      </c>
      <c r="T37" s="422"/>
      <c r="U37" s="311">
        <f>アフィン変換!L81</f>
        <v>1.0047950000000001</v>
      </c>
      <c r="V37" s="311"/>
      <c r="W37" s="311"/>
      <c r="X37" s="311"/>
    </row>
    <row r="38" spans="2:25" ht="25.15" customHeight="1"/>
    <row r="39" spans="2:25" ht="13.9" customHeight="1"/>
    <row r="40" spans="2:25" ht="13.9" customHeight="1"/>
    <row r="41" spans="2:25" ht="13.9" customHeight="1"/>
    <row r="42" spans="2:25" ht="13.9" customHeight="1"/>
    <row r="43" spans="2:25" ht="13.9" customHeight="1"/>
    <row r="44" spans="2:25" ht="13.9" customHeight="1"/>
    <row r="45" spans="2:25" ht="13.9" customHeight="1"/>
    <row r="46" spans="2:25" ht="13.9" customHeight="1"/>
    <row r="47" spans="2:25" ht="13.9" customHeight="1"/>
    <row r="48" spans="2:25"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spans="2:14" ht="13.9" customHeight="1"/>
    <row r="66" spans="2:14" ht="13.9" customHeight="1"/>
    <row r="67" spans="2:14" ht="13.9" customHeight="1"/>
    <row r="68" spans="2:14" ht="13.9" customHeight="1"/>
    <row r="69" spans="2:14">
      <c r="B69" s="2"/>
      <c r="C69" s="2"/>
      <c r="D69" s="2"/>
      <c r="E69" s="2"/>
      <c r="F69" s="2"/>
      <c r="G69" s="2"/>
      <c r="H69" s="2"/>
      <c r="I69" s="2"/>
      <c r="J69" s="2"/>
      <c r="K69" s="2"/>
      <c r="L69" s="2"/>
      <c r="M69" s="2"/>
      <c r="N69" s="2"/>
    </row>
  </sheetData>
  <sheetProtection sheet="1" objects="1" scenarios="1"/>
  <mergeCells count="18">
    <mergeCell ref="D1:I1"/>
    <mergeCell ref="J1:L1"/>
    <mergeCell ref="D2:E2"/>
    <mergeCell ref="F2:G2"/>
    <mergeCell ref="H2:I2"/>
    <mergeCell ref="J2:K2"/>
    <mergeCell ref="L2:L3"/>
    <mergeCell ref="U2:V2"/>
    <mergeCell ref="W2:X2"/>
    <mergeCell ref="Y2:Y3"/>
    <mergeCell ref="Q1:V1"/>
    <mergeCell ref="W1:Y1"/>
    <mergeCell ref="O36:Q36"/>
    <mergeCell ref="P37:Q37"/>
    <mergeCell ref="S37:T37"/>
    <mergeCell ref="Q2:R2"/>
    <mergeCell ref="S2:T2"/>
    <mergeCell ref="S36:T36"/>
  </mergeCells>
  <phoneticPr fontId="2"/>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入力画面1</vt:lpstr>
      <vt:lpstr>変換入力画面</vt:lpstr>
      <vt:lpstr>ヘルマート変換</vt:lpstr>
      <vt:lpstr>アフィン変換</vt:lpstr>
      <vt:lpstr>プリント用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滝上洋之</dc:creator>
  <cp:lastModifiedBy>達彦 大野</cp:lastModifiedBy>
  <cp:lastPrinted>2025-05-01T01:33:31Z</cp:lastPrinted>
  <dcterms:created xsi:type="dcterms:W3CDTF">2015-06-05T18:19:34Z</dcterms:created>
  <dcterms:modified xsi:type="dcterms:W3CDTF">2025-05-02T12:55:44Z</dcterms:modified>
</cp:coreProperties>
</file>